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E:\BACKUP ESPOSA GARRIDO\Documents\SECRETARÍA DISTRITAL DE CULTURA\ENCARGO\DTC\"/>
    </mc:Choice>
  </mc:AlternateContent>
  <xr:revisionPtr revIDLastSave="0" documentId="13_ncr:1_{0924E9CE-DDFA-43A6-A361-E79A4EF4D5DD}" xr6:coauthVersionLast="47" xr6:coauthVersionMax="47" xr10:uidLastSave="{00000000-0000-0000-0000-000000000000}"/>
  <bookViews>
    <workbookView xWindow="-120" yWindow="-120" windowWidth="20730" windowHeight="1104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state="hidden" r:id="rId8"/>
    <sheet name="Opciones Tratamiento" sheetId="16" state="hidden" r:id="rId9"/>
    <sheet name="Hoja1" sheetId="11" state="hidden" r:id="rId10"/>
  </sheets>
  <calcPr calcId="191029"/>
  <pivotCaches>
    <pivotCache cacheId="0" r:id="rId11"/>
    <pivotCache cacheId="1" r:id="rId12"/>
  </pivotCaches>
</workbook>
</file>

<file path=xl/calcChain.xml><?xml version="1.0" encoding="utf-8"?>
<calcChain xmlns="http://schemas.openxmlformats.org/spreadsheetml/2006/main">
  <c r="N18" i="1" l="1"/>
  <c r="W18" i="1"/>
  <c r="T12" i="1"/>
  <c r="T13" i="1"/>
  <c r="T14" i="1"/>
  <c r="T15" i="1"/>
  <c r="T16" i="1"/>
  <c r="T17"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11" i="1"/>
  <c r="K11" i="1" l="1"/>
  <c r="G26" i="21"/>
  <c r="W11" i="1" l="1"/>
  <c r="L11" i="1"/>
  <c r="N32" i="1"/>
  <c r="N45" i="1"/>
  <c r="N31" i="1"/>
  <c r="N39" i="1"/>
  <c r="N27" i="1"/>
  <c r="N22" i="1"/>
  <c r="N30" i="1"/>
  <c r="N49" i="1"/>
  <c r="N46" i="1"/>
  <c r="N44" i="1"/>
  <c r="N58" i="1"/>
  <c r="N24" i="1"/>
  <c r="N51" i="1"/>
  <c r="N62" i="1"/>
  <c r="N34" i="1"/>
  <c r="N57" i="1"/>
  <c r="N33" i="1"/>
  <c r="N50" i="1"/>
  <c r="N60" i="1"/>
  <c r="N36" i="1"/>
  <c r="N20" i="1"/>
  <c r="N21" i="1"/>
  <c r="N56" i="1"/>
  <c r="N64" i="1"/>
  <c r="N43" i="1"/>
  <c r="N25" i="1"/>
  <c r="N42" i="1"/>
  <c r="N48" i="1"/>
  <c r="N54" i="1"/>
  <c r="N40" i="1"/>
  <c r="N63" i="1"/>
  <c r="N38" i="1"/>
  <c r="N52" i="1"/>
  <c r="N19" i="1"/>
  <c r="N61" i="1"/>
  <c r="N55" i="1"/>
  <c r="N28" i="1"/>
  <c r="N37" i="1"/>
  <c r="N26" i="1"/>
  <c r="F221" i="13" l="1"/>
  <c r="F211" i="13"/>
  <c r="F212" i="13"/>
  <c r="F213" i="13"/>
  <c r="F214" i="13"/>
  <c r="F215" i="13"/>
  <c r="F216" i="13"/>
  <c r="F217" i="13"/>
  <c r="F218" i="13"/>
  <c r="F219" i="13"/>
  <c r="F220" i="13"/>
  <c r="F210" i="13"/>
  <c r="B221" i="13" a="1"/>
  <c r="N16" i="1"/>
  <c r="N13" i="1"/>
  <c r="N12" i="1"/>
  <c r="N15" i="1"/>
  <c r="N14" i="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W64" i="1" l="1"/>
  <c r="W63" i="1"/>
  <c r="W62" i="1"/>
  <c r="W61" i="1"/>
  <c r="W60" i="1"/>
  <c r="W59" i="1"/>
  <c r="K59" i="1"/>
  <c r="L59" i="1" s="1"/>
  <c r="W58" i="1"/>
  <c r="W57" i="1"/>
  <c r="W56" i="1"/>
  <c r="W55" i="1"/>
  <c r="W54" i="1"/>
  <c r="W53" i="1"/>
  <c r="K53" i="1"/>
  <c r="L53" i="1" s="1"/>
  <c r="W52" i="1"/>
  <c r="W51" i="1"/>
  <c r="W50" i="1"/>
  <c r="W49" i="1"/>
  <c r="W48" i="1"/>
  <c r="AE48" i="1"/>
  <c r="W47" i="1"/>
  <c r="K47" i="1"/>
  <c r="L47" i="1" s="1"/>
  <c r="W46" i="1"/>
  <c r="W45" i="1"/>
  <c r="W44" i="1"/>
  <c r="W43" i="1"/>
  <c r="W42" i="1"/>
  <c r="W41" i="1"/>
  <c r="AE42" i="1"/>
  <c r="K41" i="1"/>
  <c r="L41" i="1" s="1"/>
  <c r="W40" i="1"/>
  <c r="W39" i="1"/>
  <c r="W38" i="1"/>
  <c r="W37" i="1"/>
  <c r="W36" i="1"/>
  <c r="W35" i="1"/>
  <c r="K35" i="1"/>
  <c r="L35" i="1" s="1"/>
  <c r="W34" i="1"/>
  <c r="W33" i="1"/>
  <c r="W32" i="1"/>
  <c r="W31" i="1"/>
  <c r="W30" i="1"/>
  <c r="W29" i="1"/>
  <c r="K29" i="1"/>
  <c r="L29" i="1" s="1"/>
  <c r="W28" i="1"/>
  <c r="W27" i="1"/>
  <c r="W26" i="1"/>
  <c r="W25" i="1"/>
  <c r="W24" i="1"/>
  <c r="W23" i="1"/>
  <c r="K23" i="1"/>
  <c r="L23" i="1" s="1"/>
  <c r="K17" i="1"/>
  <c r="W22" i="1"/>
  <c r="W21" i="1"/>
  <c r="W20" i="1"/>
  <c r="W19" i="1"/>
  <c r="W17" i="1"/>
  <c r="AE24" i="1" l="1"/>
  <c r="AE30" i="1"/>
  <c r="AE60" i="1"/>
  <c r="AE54" i="1"/>
  <c r="AE45" i="1"/>
  <c r="AD45" i="1" s="1"/>
  <c r="AE46" i="1"/>
  <c r="AD46" i="1" s="1"/>
  <c r="L17" i="1"/>
  <c r="AA59" i="1"/>
  <c r="AA53" i="1"/>
  <c r="AA47" i="1"/>
  <c r="AA41" i="1"/>
  <c r="AA45" i="1"/>
  <c r="AA46" i="1"/>
  <c r="AA35" i="1"/>
  <c r="AA29" i="1"/>
  <c r="AA23" i="1"/>
  <c r="AA17" i="1"/>
  <c r="AB59" i="1" l="1"/>
  <c r="AC59" i="1"/>
  <c r="AA60" i="1" s="1"/>
  <c r="AB60" i="1" s="1"/>
  <c r="AB53" i="1"/>
  <c r="AC53" i="1"/>
  <c r="AA54" i="1" s="1"/>
  <c r="AC54" i="1" s="1"/>
  <c r="AA55" i="1" s="1"/>
  <c r="AB47" i="1"/>
  <c r="AC47" i="1"/>
  <c r="AA48" i="1" s="1"/>
  <c r="AC48" i="1" s="1"/>
  <c r="AA49" i="1" s="1"/>
  <c r="AB46" i="1"/>
  <c r="AC46" i="1"/>
  <c r="AB45" i="1"/>
  <c r="AC45" i="1"/>
  <c r="AB41" i="1"/>
  <c r="AC41" i="1"/>
  <c r="AB35" i="1"/>
  <c r="AC35" i="1"/>
  <c r="AA36" i="1" s="1"/>
  <c r="AC36" i="1" s="1"/>
  <c r="AA37" i="1" s="1"/>
  <c r="AB29" i="1"/>
  <c r="AC29" i="1"/>
  <c r="AA30" i="1" s="1"/>
  <c r="AC30" i="1" s="1"/>
  <c r="AA31" i="1" s="1"/>
  <c r="AB31" i="1" s="1"/>
  <c r="AB23" i="1"/>
  <c r="AC23" i="1"/>
  <c r="AA24" i="1" s="1"/>
  <c r="AB24" i="1" s="1"/>
  <c r="AB17" i="1"/>
  <c r="AC17" i="1"/>
  <c r="AA18" i="1" s="1"/>
  <c r="AB18" i="1" l="1"/>
  <c r="AC18" i="1"/>
  <c r="AB54" i="1"/>
  <c r="AB48" i="1"/>
  <c r="AC24" i="1"/>
  <c r="AA25" i="1" s="1"/>
  <c r="AB25" i="1" s="1"/>
  <c r="AB36" i="1"/>
  <c r="AB30" i="1"/>
  <c r="AB37" i="1"/>
  <c r="AC37" i="1"/>
  <c r="AC55" i="1"/>
  <c r="AA56" i="1" s="1"/>
  <c r="AB55" i="1"/>
  <c r="AC49" i="1"/>
  <c r="AA50" i="1" s="1"/>
  <c r="AB49" i="1"/>
  <c r="AC60" i="1"/>
  <c r="AA61" i="1" s="1"/>
  <c r="AA42" i="1"/>
  <c r="AA43" i="1"/>
  <c r="AC3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F45" i="1"/>
  <c r="AF46" i="1"/>
  <c r="W12" i="1"/>
  <c r="W13" i="1"/>
  <c r="W14" i="1"/>
  <c r="W15" i="1"/>
  <c r="W16" i="1"/>
  <c r="AB56" i="1" l="1"/>
  <c r="AC56" i="1"/>
  <c r="AB50" i="1"/>
  <c r="AC50" i="1"/>
  <c r="AA51" i="1" s="1"/>
  <c r="AC25" i="1"/>
  <c r="AA26" i="1" s="1"/>
  <c r="AC26" i="1" s="1"/>
  <c r="AB43" i="1"/>
  <c r="AC43" i="1"/>
  <c r="AA44" i="1" s="1"/>
  <c r="AB61" i="1"/>
  <c r="AC61" i="1"/>
  <c r="AA62" i="1" s="1"/>
  <c r="AB42" i="1"/>
  <c r="AC42" i="1"/>
  <c r="AA38" i="1"/>
  <c r="AA33" i="1"/>
  <c r="AB33" i="1" s="1"/>
  <c r="AA32" i="1"/>
  <c r="AA19" i="1"/>
  <c r="AB19" i="1" s="1"/>
  <c r="AB51" i="1" l="1"/>
  <c r="AC51" i="1"/>
  <c r="AA52" i="1" s="1"/>
  <c r="AA57" i="1"/>
  <c r="AA58" i="1"/>
  <c r="AB26" i="1"/>
  <c r="AB38" i="1"/>
  <c r="AC38" i="1"/>
  <c r="AA39" i="1" s="1"/>
  <c r="AB39" i="1" s="1"/>
  <c r="AB44" i="1"/>
  <c r="AC44" i="1"/>
  <c r="AA27" i="1"/>
  <c r="AC62" i="1"/>
  <c r="AB62" i="1"/>
  <c r="AB32" i="1"/>
  <c r="AC32" i="1"/>
  <c r="AC33" i="1"/>
  <c r="AA34" i="1" s="1"/>
  <c r="AC19" i="1"/>
  <c r="AA20" i="1" s="1"/>
  <c r="AB20" i="1" s="1"/>
  <c r="AB58" i="1" l="1"/>
  <c r="AC58" i="1"/>
  <c r="AB57" i="1"/>
  <c r="AC57" i="1"/>
  <c r="AB52" i="1"/>
  <c r="AC52" i="1"/>
  <c r="AA63" i="1"/>
  <c r="AA64" i="1"/>
  <c r="AC39" i="1"/>
  <c r="AA40" i="1" s="1"/>
  <c r="AB40" i="1" s="1"/>
  <c r="AB27" i="1"/>
  <c r="AC27" i="1"/>
  <c r="AA28" i="1" s="1"/>
  <c r="AB28" i="1" s="1"/>
  <c r="AB34" i="1"/>
  <c r="AC34" i="1"/>
  <c r="AC20" i="1"/>
  <c r="AA21" i="1" s="1"/>
  <c r="AC21" i="1" s="1"/>
  <c r="AA22" i="1" s="1"/>
  <c r="AA11" i="1"/>
  <c r="AB11" i="1" s="1"/>
  <c r="AB64" i="1" l="1"/>
  <c r="AC64" i="1"/>
  <c r="AB63" i="1"/>
  <c r="AC63" i="1"/>
  <c r="AC40" i="1"/>
  <c r="AC28" i="1"/>
  <c r="AB21" i="1"/>
  <c r="AB22" i="1"/>
  <c r="AC22" i="1"/>
  <c r="AC11" i="1" l="1"/>
  <c r="AA12" i="1" s="1"/>
  <c r="AB12" i="1" l="1"/>
  <c r="AC12" i="1" l="1"/>
  <c r="AA13" i="1" s="1"/>
  <c r="AB13" i="1" s="1"/>
  <c r="AC13" i="1" l="1"/>
  <c r="AA14" i="1" s="1"/>
  <c r="AC14" i="1" l="1"/>
  <c r="AA15" i="1" s="1"/>
  <c r="AB15" i="1" l="1"/>
  <c r="AC15" i="1"/>
  <c r="AA16" i="1" s="1"/>
  <c r="AB14" i="1"/>
  <c r="AB16" i="1" l="1"/>
  <c r="AC16" i="1"/>
  <c r="AE61" i="1" l="1"/>
  <c r="AE53" i="1"/>
  <c r="AE47" i="1"/>
  <c r="AD47" i="1" s="1"/>
  <c r="AE41" i="1"/>
  <c r="AD41" i="1" s="1"/>
  <c r="AD24" i="1" l="1"/>
  <c r="AE25" i="1"/>
  <c r="AF4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D53" i="1"/>
  <c r="AD60" i="1"/>
  <c r="AE13" i="1"/>
  <c r="AD61" i="1"/>
  <c r="AE62" i="1"/>
  <c r="AE38" i="1"/>
  <c r="V32" i="19"/>
  <c r="P42" i="19"/>
  <c r="J12" i="19"/>
  <c r="J32" i="19"/>
  <c r="AB52" i="19"/>
  <c r="AF41" i="1"/>
  <c r="J22" i="19"/>
  <c r="V22" i="19"/>
  <c r="J52" i="19"/>
  <c r="AH12" i="19"/>
  <c r="J42" i="19"/>
  <c r="AH42" i="19"/>
  <c r="P32" i="19"/>
  <c r="AB12" i="19"/>
  <c r="AH32" i="19"/>
  <c r="AB32" i="19"/>
  <c r="AB42" i="19"/>
  <c r="V42" i="19"/>
  <c r="V12" i="19"/>
  <c r="V52" i="19"/>
  <c r="AB22" i="19"/>
  <c r="AH52" i="19"/>
  <c r="AH22" i="19"/>
  <c r="P22" i="19"/>
  <c r="P12" i="19"/>
  <c r="P52" i="19"/>
  <c r="AE43" i="1"/>
  <c r="AD43" i="1" s="1"/>
  <c r="AE44" i="1"/>
  <c r="AD44" i="1" s="1"/>
  <c r="AD42" i="1"/>
  <c r="AE19" i="1"/>
  <c r="AD48" i="1"/>
  <c r="AE49" i="1"/>
  <c r="AD54" i="1"/>
  <c r="AE55" i="1"/>
  <c r="AD30" i="1"/>
  <c r="AE31" i="1"/>
  <c r="AD62" i="1" l="1"/>
  <c r="AE63" i="1"/>
  <c r="K35" i="19"/>
  <c r="AC25" i="19"/>
  <c r="K45" i="19"/>
  <c r="AI45" i="19"/>
  <c r="W45" i="19"/>
  <c r="Q35" i="19"/>
  <c r="K55" i="19"/>
  <c r="AC15" i="19"/>
  <c r="Q15" i="19"/>
  <c r="AC35" i="19"/>
  <c r="AI35" i="19"/>
  <c r="Q55" i="19"/>
  <c r="AI25" i="19"/>
  <c r="AF60"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F54" i="1"/>
  <c r="K44" i="19"/>
  <c r="Q34" i="19"/>
  <c r="W34" i="19"/>
  <c r="K14" i="19"/>
  <c r="W54" i="19"/>
  <c r="K34" i="19"/>
  <c r="AC34" i="19"/>
  <c r="AD55" i="19"/>
  <c r="R15" i="19"/>
  <c r="AJ35" i="19"/>
  <c r="AF61"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F53"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F43" i="1"/>
  <c r="AD12" i="19"/>
  <c r="AD32" i="19"/>
  <c r="AD22" i="19"/>
  <c r="X52" i="19"/>
  <c r="AD52" i="19"/>
  <c r="L42" i="19"/>
  <c r="R42" i="19"/>
  <c r="AE20" i="1"/>
  <c r="AD19" i="1"/>
  <c r="AD31" i="1"/>
  <c r="AE32" i="1"/>
  <c r="AD49" i="1"/>
  <c r="AE50" i="1"/>
  <c r="K42" i="19"/>
  <c r="AC32" i="19"/>
  <c r="W42" i="19"/>
  <c r="AI52" i="19"/>
  <c r="K22" i="19"/>
  <c r="Q32" i="19"/>
  <c r="AI12" i="19"/>
  <c r="AC52" i="19"/>
  <c r="Q42" i="19"/>
  <c r="AC42" i="19"/>
  <c r="K12" i="19"/>
  <c r="Q22" i="19"/>
  <c r="W52" i="19"/>
  <c r="AI42" i="19"/>
  <c r="W32" i="19"/>
  <c r="AI22" i="19"/>
  <c r="W12" i="19"/>
  <c r="AI32" i="19"/>
  <c r="AC12" i="19"/>
  <c r="Q12" i="19"/>
  <c r="Q52" i="19"/>
  <c r="AF42" i="1"/>
  <c r="K32" i="19"/>
  <c r="W22" i="19"/>
  <c r="K52" i="19"/>
  <c r="AC22" i="19"/>
  <c r="AE26" i="1"/>
  <c r="AD25" i="1"/>
  <c r="AD55" i="1"/>
  <c r="AE56" i="1"/>
  <c r="K39" i="19"/>
  <c r="AC39" i="19"/>
  <c r="W29" i="19"/>
  <c r="AI49" i="19"/>
  <c r="W9" i="19"/>
  <c r="AC19" i="19"/>
  <c r="Q49" i="19"/>
  <c r="W49" i="19"/>
  <c r="AC9" i="19"/>
  <c r="AI9" i="19"/>
  <c r="Q29" i="19"/>
  <c r="W39" i="19"/>
  <c r="Q39" i="19"/>
  <c r="AF30"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F48" i="1"/>
  <c r="Q33" i="19"/>
  <c r="AI23" i="19"/>
  <c r="K53" i="19"/>
  <c r="AC23" i="19"/>
  <c r="AC13" i="19"/>
  <c r="W23" i="19"/>
  <c r="W33" i="19"/>
  <c r="Q13" i="19"/>
  <c r="W13" i="19"/>
  <c r="AI13" i="19"/>
  <c r="Q43" i="19"/>
  <c r="Q23" i="19"/>
  <c r="W53" i="19"/>
  <c r="M12" i="19"/>
  <c r="AK42" i="19"/>
  <c r="AE32" i="19"/>
  <c r="AF44" i="1"/>
  <c r="M52" i="19"/>
  <c r="S12" i="19"/>
  <c r="M32" i="19"/>
  <c r="S52" i="19"/>
  <c r="Y52" i="19"/>
  <c r="Y42" i="19"/>
  <c r="AK12" i="19"/>
  <c r="S22" i="19"/>
  <c r="AE12" i="19"/>
  <c r="Y22" i="19"/>
  <c r="S32" i="19"/>
  <c r="AK52" i="19"/>
  <c r="M22" i="19"/>
  <c r="AK32" i="19"/>
  <c r="AE22" i="19"/>
  <c r="AE42" i="19"/>
  <c r="Y32" i="19"/>
  <c r="M42" i="19"/>
  <c r="Y12" i="19"/>
  <c r="AE52" i="19"/>
  <c r="AK22" i="19"/>
  <c r="S42" i="19"/>
  <c r="AD38" i="1"/>
  <c r="AE40" i="1"/>
  <c r="AD40" i="1" s="1"/>
  <c r="AE39" i="1"/>
  <c r="AD39" i="1" s="1"/>
  <c r="AE14" i="1"/>
  <c r="AD14" i="1" s="1"/>
  <c r="AD13" i="1"/>
  <c r="AE15"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F24" i="1"/>
  <c r="AD15" i="1" l="1"/>
  <c r="AE16" i="1"/>
  <c r="AD16"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50" i="1"/>
  <c r="AE51" i="1"/>
  <c r="AD63" i="1"/>
  <c r="AE64" i="1"/>
  <c r="AD64" i="1" s="1"/>
  <c r="AD47" i="19"/>
  <c r="AJ27" i="19"/>
  <c r="AD27" i="19"/>
  <c r="AJ7" i="19"/>
  <c r="AJ37" i="19"/>
  <c r="L27" i="19"/>
  <c r="AD17" i="19"/>
  <c r="L37" i="19"/>
  <c r="R17" i="19"/>
  <c r="AJ17" i="19"/>
  <c r="X7" i="19"/>
  <c r="X47" i="19"/>
  <c r="L7" i="19"/>
  <c r="L17" i="19"/>
  <c r="R27" i="19"/>
  <c r="X27" i="19"/>
  <c r="R7" i="19"/>
  <c r="X17" i="19"/>
  <c r="AJ47" i="19"/>
  <c r="L47" i="19"/>
  <c r="R37" i="19"/>
  <c r="AD7" i="19"/>
  <c r="X37" i="19"/>
  <c r="AF19" i="1"/>
  <c r="R47" i="19"/>
  <c r="AD37" i="19"/>
  <c r="AE27" i="1"/>
  <c r="AD27" i="1" s="1"/>
  <c r="AD26" i="1"/>
  <c r="AE28" i="1"/>
  <c r="AD28" i="1" s="1"/>
  <c r="AJ43" i="19"/>
  <c r="AD33" i="19"/>
  <c r="X33" i="19"/>
  <c r="X13" i="19"/>
  <c r="AD43" i="19"/>
  <c r="L43" i="19"/>
  <c r="AF49" i="1"/>
  <c r="X23" i="19"/>
  <c r="R33" i="19"/>
  <c r="R43" i="19"/>
  <c r="AD53" i="19"/>
  <c r="AJ13" i="19"/>
  <c r="R23" i="19"/>
  <c r="R13" i="19"/>
  <c r="AJ53" i="19"/>
  <c r="L33" i="19"/>
  <c r="L23" i="19"/>
  <c r="X43" i="19"/>
  <c r="X53" i="19"/>
  <c r="AD13" i="19"/>
  <c r="L53" i="19"/>
  <c r="L13" i="19"/>
  <c r="AD23" i="19"/>
  <c r="AJ33" i="19"/>
  <c r="AJ23" i="19"/>
  <c r="R53" i="19"/>
  <c r="AD20" i="1"/>
  <c r="AE21" i="1"/>
  <c r="M55" i="19"/>
  <c r="AK15" i="19"/>
  <c r="AE25" i="19"/>
  <c r="AF62"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F25"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F39"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F14" i="1"/>
  <c r="O11" i="19"/>
  <c r="O21" i="19"/>
  <c r="O51" i="19"/>
  <c r="AA31" i="19"/>
  <c r="AM31" i="19"/>
  <c r="AG51" i="19"/>
  <c r="AA41" i="19"/>
  <c r="AM11" i="19"/>
  <c r="U21" i="19"/>
  <c r="AG41" i="19"/>
  <c r="AM21" i="19"/>
  <c r="AM51" i="19"/>
  <c r="O41" i="19"/>
  <c r="U11" i="19"/>
  <c r="AG31" i="19"/>
  <c r="U41" i="19"/>
  <c r="AF40" i="1"/>
  <c r="AG11" i="19"/>
  <c r="AM41" i="19"/>
  <c r="AA21" i="19"/>
  <c r="AA51" i="19"/>
  <c r="U51" i="19"/>
  <c r="U31" i="19"/>
  <c r="AA11" i="19"/>
  <c r="AG21" i="19"/>
  <c r="O31" i="19"/>
  <c r="AD56" i="1"/>
  <c r="AE57" i="1"/>
  <c r="AD32" i="1"/>
  <c r="AE33" i="1"/>
  <c r="AD33" i="1" s="1"/>
  <c r="AE34" i="1"/>
  <c r="AD34" i="1" s="1"/>
  <c r="AJ46" i="19"/>
  <c r="AD46" i="19"/>
  <c r="L36" i="19"/>
  <c r="X16" i="19"/>
  <c r="AJ26" i="19"/>
  <c r="L46" i="19"/>
  <c r="X6" i="19"/>
  <c r="R36" i="19"/>
  <c r="X36" i="19"/>
  <c r="R6" i="19"/>
  <c r="AJ6" i="19"/>
  <c r="AD36" i="19"/>
  <c r="R46" i="19"/>
  <c r="AD26" i="19"/>
  <c r="L16" i="19"/>
  <c r="AD16" i="19"/>
  <c r="AF13" i="1"/>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F38" i="1"/>
  <c r="S41" i="19"/>
  <c r="AK11" i="19"/>
  <c r="S11" i="19"/>
  <c r="Y31" i="19"/>
  <c r="S21" i="19"/>
  <c r="M11" i="19"/>
  <c r="L54" i="19"/>
  <c r="AJ14" i="19"/>
  <c r="AD44" i="19"/>
  <c r="X54" i="19"/>
  <c r="R14" i="19"/>
  <c r="AD24" i="19"/>
  <c r="AD34" i="19"/>
  <c r="R54" i="19"/>
  <c r="L34" i="19"/>
  <c r="AJ34" i="19"/>
  <c r="X24" i="19"/>
  <c r="AJ24" i="19"/>
  <c r="X44" i="19"/>
  <c r="R24" i="19"/>
  <c r="AF55" i="1"/>
  <c r="X34" i="19"/>
  <c r="L14" i="19"/>
  <c r="AD14" i="19"/>
  <c r="L44" i="19"/>
  <c r="R44" i="19"/>
  <c r="AD54" i="19"/>
  <c r="X14" i="19"/>
  <c r="AJ44" i="19"/>
  <c r="R34" i="19"/>
  <c r="AJ54" i="19"/>
  <c r="L24" i="19"/>
  <c r="AD29" i="19"/>
  <c r="AD19" i="19"/>
  <c r="R39" i="19"/>
  <c r="R9" i="19"/>
  <c r="X49" i="19"/>
  <c r="X9" i="19"/>
  <c r="AD39" i="19"/>
  <c r="R29" i="19"/>
  <c r="L49" i="19"/>
  <c r="X19" i="19"/>
  <c r="X29" i="19"/>
  <c r="X39" i="19"/>
  <c r="L9" i="19"/>
  <c r="AF31" i="1"/>
  <c r="AD9" i="19"/>
  <c r="AJ49" i="19"/>
  <c r="L39" i="19"/>
  <c r="R19" i="19"/>
  <c r="AJ39" i="19"/>
  <c r="AJ29" i="19"/>
  <c r="AJ19" i="19"/>
  <c r="AJ9" i="19"/>
  <c r="AD49" i="19"/>
  <c r="L19" i="19"/>
  <c r="L29" i="19"/>
  <c r="R49" i="19"/>
  <c r="AG39" i="19" l="1"/>
  <c r="AG29" i="19"/>
  <c r="AM19" i="19"/>
  <c r="O39" i="19"/>
  <c r="AF34"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F56" i="1"/>
  <c r="AE24" i="19"/>
  <c r="S14" i="19"/>
  <c r="AK17" i="19"/>
  <c r="S27" i="19"/>
  <c r="S37" i="19"/>
  <c r="AE27" i="19"/>
  <c r="Y47" i="19"/>
  <c r="S7" i="19"/>
  <c r="M17" i="19"/>
  <c r="AE17" i="19"/>
  <c r="AK27" i="19"/>
  <c r="Y7" i="19"/>
  <c r="Y37" i="19"/>
  <c r="AE37" i="19"/>
  <c r="Y27" i="19"/>
  <c r="M47" i="19"/>
  <c r="AF20"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F26" i="1"/>
  <c r="AE28" i="19"/>
  <c r="AA55" i="19"/>
  <c r="O45" i="19"/>
  <c r="AA15" i="19"/>
  <c r="AM55" i="19"/>
  <c r="O55" i="19"/>
  <c r="AG35" i="19"/>
  <c r="AM25" i="19"/>
  <c r="AM35" i="19"/>
  <c r="AA25" i="19"/>
  <c r="AM45" i="19"/>
  <c r="AG25" i="19"/>
  <c r="AA35" i="19"/>
  <c r="O25" i="19"/>
  <c r="U25" i="19"/>
  <c r="AG45" i="19"/>
  <c r="U35" i="19"/>
  <c r="AA45" i="19"/>
  <c r="AM15" i="19"/>
  <c r="U45" i="19"/>
  <c r="O35" i="19"/>
  <c r="O15" i="19"/>
  <c r="AF64"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F33" i="1"/>
  <c r="T19" i="19"/>
  <c r="AL49" i="19"/>
  <c r="T29" i="19"/>
  <c r="AF29" i="19"/>
  <c r="T18" i="19"/>
  <c r="N48" i="19"/>
  <c r="N8" i="19"/>
  <c r="T28" i="19"/>
  <c r="AF38" i="19"/>
  <c r="Z28" i="19"/>
  <c r="Z18" i="19"/>
  <c r="AF8" i="19"/>
  <c r="AF27"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F63"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F32" i="1"/>
  <c r="M9" i="19"/>
  <c r="Y29" i="19"/>
  <c r="AD51" i="1"/>
  <c r="AE52" i="1"/>
  <c r="AD52" i="1" s="1"/>
  <c r="AM46" i="19"/>
  <c r="U36" i="19"/>
  <c r="AG16" i="19"/>
  <c r="O6" i="19"/>
  <c r="AA36" i="19"/>
  <c r="AM16" i="19"/>
  <c r="U6" i="19"/>
  <c r="AG46" i="19"/>
  <c r="AA16" i="19"/>
  <c r="AF16" i="1"/>
  <c r="AA6" i="19"/>
  <c r="AG6" i="19"/>
  <c r="AA46" i="19"/>
  <c r="AM26" i="19"/>
  <c r="U16" i="19"/>
  <c r="O36" i="19"/>
  <c r="U26" i="19"/>
  <c r="O46" i="19"/>
  <c r="AA26" i="19"/>
  <c r="AM6" i="19"/>
  <c r="U46" i="19"/>
  <c r="AG26" i="19"/>
  <c r="O16" i="19"/>
  <c r="AG36" i="19"/>
  <c r="O26" i="19"/>
  <c r="AM36" i="19"/>
  <c r="AD57" i="1"/>
  <c r="AE58" i="1"/>
  <c r="AD58" i="1" s="1"/>
  <c r="AE22" i="1"/>
  <c r="AD22" i="1" s="1"/>
  <c r="AD21" i="1"/>
  <c r="O8" i="19"/>
  <c r="AA48" i="19"/>
  <c r="AM38" i="19"/>
  <c r="U48" i="19"/>
  <c r="AA18" i="19"/>
  <c r="AG18" i="19"/>
  <c r="AG48" i="19"/>
  <c r="AM18" i="19"/>
  <c r="AA28" i="19"/>
  <c r="AG28" i="19"/>
  <c r="AA8" i="19"/>
  <c r="U18" i="19"/>
  <c r="AG38" i="19"/>
  <c r="U38" i="19"/>
  <c r="AM8" i="19"/>
  <c r="AA38" i="19"/>
  <c r="AM48" i="19"/>
  <c r="U28" i="19"/>
  <c r="O38" i="19"/>
  <c r="U8" i="19"/>
  <c r="AG8" i="19"/>
  <c r="AF28"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F50" i="1"/>
  <c r="M33" i="19"/>
  <c r="AF6" i="19"/>
  <c r="N46" i="19"/>
  <c r="Z26" i="19"/>
  <c r="AL6" i="19"/>
  <c r="AL36" i="19"/>
  <c r="AF26" i="19"/>
  <c r="Z6" i="19"/>
  <c r="T26" i="19"/>
  <c r="Z46" i="19"/>
  <c r="AF46" i="19"/>
  <c r="T46" i="19"/>
  <c r="T6" i="19"/>
  <c r="AF36" i="19"/>
  <c r="N26" i="19"/>
  <c r="Z16" i="19"/>
  <c r="AL26" i="19"/>
  <c r="Z36" i="19"/>
  <c r="N36" i="19"/>
  <c r="AL46" i="19"/>
  <c r="T36" i="19"/>
  <c r="AF16" i="19"/>
  <c r="N6" i="19"/>
  <c r="N16" i="19"/>
  <c r="AF15"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F58" i="1"/>
  <c r="AA14" i="19"/>
  <c r="O54" i="19"/>
  <c r="U44" i="19"/>
  <c r="U43" i="19"/>
  <c r="U13" i="19"/>
  <c r="AM53" i="19"/>
  <c r="AA53" i="19"/>
  <c r="AA43" i="19"/>
  <c r="O53" i="19"/>
  <c r="O23" i="19"/>
  <c r="O13" i="19"/>
  <c r="AG43" i="19"/>
  <c r="U33" i="19"/>
  <c r="U23" i="19"/>
  <c r="AM13" i="19"/>
  <c r="AM23" i="19"/>
  <c r="AG13" i="19"/>
  <c r="AA23" i="19"/>
  <c r="AG33" i="19"/>
  <c r="AA33" i="19"/>
  <c r="AM33" i="19"/>
  <c r="AA13" i="19"/>
  <c r="AF5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7" i="1"/>
  <c r="AF53" i="19"/>
  <c r="T43" i="19"/>
  <c r="Z53" i="19"/>
  <c r="N43" i="19"/>
  <c r="T23" i="19"/>
  <c r="AF43" i="19"/>
  <c r="Z13" i="19"/>
  <c r="Z43" i="19"/>
  <c r="AF23" i="19"/>
  <c r="AL13" i="19"/>
  <c r="Z23" i="19"/>
  <c r="AL43" i="19"/>
  <c r="AF13" i="19"/>
  <c r="AL23" i="19"/>
  <c r="N13" i="19"/>
  <c r="T33" i="19"/>
  <c r="AL53" i="19"/>
  <c r="N23" i="19"/>
  <c r="N53" i="19"/>
  <c r="AF33" i="19"/>
  <c r="N33" i="19"/>
  <c r="AF51" i="1"/>
  <c r="T53" i="19"/>
  <c r="AL33" i="19"/>
  <c r="T13" i="19"/>
  <c r="Z33" i="19"/>
  <c r="Z47" i="19"/>
  <c r="T7" i="19"/>
  <c r="AL37" i="19"/>
  <c r="T17" i="19"/>
  <c r="Z17" i="19"/>
  <c r="AF7" i="19"/>
  <c r="AF37" i="19"/>
  <c r="N17" i="19"/>
  <c r="AF27" i="19"/>
  <c r="AF21"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F22"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N35" i="1" l="1"/>
  <c r="O35" i="1" s="1"/>
  <c r="N11" i="1"/>
  <c r="O11" i="1" s="1"/>
  <c r="N29" i="1"/>
  <c r="O29" i="1" s="1"/>
  <c r="N23" i="1"/>
  <c r="O23" i="1" s="1"/>
  <c r="N47" i="1"/>
  <c r="O47" i="1" s="1"/>
  <c r="N41" i="1"/>
  <c r="O41" i="1" s="1"/>
  <c r="N17" i="1"/>
  <c r="O17" i="1" s="1"/>
  <c r="N59" i="1"/>
  <c r="O59" i="1" s="1"/>
  <c r="N53" i="1"/>
  <c r="O53" i="1" s="1"/>
  <c r="X6" i="18" l="1"/>
  <c r="AJ30" i="18"/>
  <c r="R22" i="18"/>
  <c r="L6" i="18"/>
  <c r="R30" i="18"/>
  <c r="X22" i="18"/>
  <c r="X38" i="18"/>
  <c r="AD38" i="18"/>
  <c r="Q17" i="1"/>
  <c r="AD22" i="18"/>
  <c r="P17" i="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P41" i="1"/>
  <c r="J42" i="18"/>
  <c r="P34" i="18"/>
  <c r="AB18" i="18"/>
  <c r="AB42" i="18"/>
  <c r="AH34" i="18"/>
  <c r="P10" i="18"/>
  <c r="V34" i="18"/>
  <c r="P42" i="18"/>
  <c r="V42" i="18"/>
  <c r="AH42" i="18"/>
  <c r="AB26" i="18"/>
  <c r="AH26" i="18"/>
  <c r="V26" i="18"/>
  <c r="AB34" i="18"/>
  <c r="V10" i="18"/>
  <c r="AH18" i="18"/>
  <c r="J34" i="18"/>
  <c r="J10" i="18"/>
  <c r="AB10" i="18"/>
  <c r="J18" i="18"/>
  <c r="Q41" i="1"/>
  <c r="P26" i="18"/>
  <c r="J26" i="18"/>
  <c r="AH10" i="18"/>
  <c r="P18" i="18"/>
  <c r="V18" i="18"/>
  <c r="X42" i="18"/>
  <c r="AD34" i="18"/>
  <c r="AD10" i="18"/>
  <c r="AD26" i="18"/>
  <c r="L10" i="18"/>
  <c r="L42" i="18"/>
  <c r="L26" i="18"/>
  <c r="X18" i="18"/>
  <c r="X34" i="18"/>
  <c r="X10" i="18"/>
  <c r="R18" i="18"/>
  <c r="AJ10" i="18"/>
  <c r="AD42" i="18"/>
  <c r="AJ34" i="18"/>
  <c r="R26" i="18"/>
  <c r="P47" i="1"/>
  <c r="L18" i="18"/>
  <c r="AJ26" i="18"/>
  <c r="AD18" i="18"/>
  <c r="R34" i="18"/>
  <c r="L34" i="18"/>
  <c r="AJ42" i="18"/>
  <c r="R10" i="18"/>
  <c r="R42" i="18"/>
  <c r="X26" i="18"/>
  <c r="AJ18" i="18"/>
  <c r="Q47" i="1"/>
  <c r="T14" i="18"/>
  <c r="AL38" i="18"/>
  <c r="N14" i="18"/>
  <c r="Z6" i="18"/>
  <c r="T38" i="18"/>
  <c r="T22" i="18"/>
  <c r="AL14" i="18"/>
  <c r="N22" i="18"/>
  <c r="Q23" i="1"/>
  <c r="AF22" i="18"/>
  <c r="N6" i="18"/>
  <c r="AF6" i="18"/>
  <c r="AF38" i="18"/>
  <c r="P23" i="1"/>
  <c r="AE23" i="1" s="1"/>
  <c r="AD23" i="1" s="1"/>
  <c r="N38" i="18"/>
  <c r="AL30" i="18"/>
  <c r="AL22" i="18"/>
  <c r="T6" i="18"/>
  <c r="AF14" i="18"/>
  <c r="AF30" i="18"/>
  <c r="Z22" i="18"/>
  <c r="T30" i="18"/>
  <c r="Z30" i="18"/>
  <c r="AL6" i="18"/>
  <c r="Z14" i="18"/>
  <c r="Z38" i="18"/>
  <c r="N30" i="18"/>
  <c r="J40" i="18"/>
  <c r="AB40" i="18"/>
  <c r="AH32" i="18"/>
  <c r="AB24" i="18"/>
  <c r="V16" i="18"/>
  <c r="P29" i="1"/>
  <c r="AE29" i="1" s="1"/>
  <c r="AD29" i="1" s="1"/>
  <c r="J16" i="18"/>
  <c r="P32" i="18"/>
  <c r="V24" i="18"/>
  <c r="P24" i="18"/>
  <c r="V40" i="18"/>
  <c r="P16" i="18"/>
  <c r="P40" i="18"/>
  <c r="V32" i="18"/>
  <c r="AH16" i="18"/>
  <c r="AB16" i="18"/>
  <c r="V8" i="18"/>
  <c r="AH24" i="18"/>
  <c r="AH8" i="18"/>
  <c r="AH40" i="18"/>
  <c r="J8" i="18"/>
  <c r="AB32" i="18"/>
  <c r="AB8" i="18"/>
  <c r="J24" i="18"/>
  <c r="J32" i="18"/>
  <c r="P8" i="18"/>
  <c r="Q29" i="1"/>
  <c r="Z42" i="18"/>
  <c r="T18" i="18"/>
  <c r="AF34" i="18"/>
  <c r="AF42" i="18"/>
  <c r="N42" i="18"/>
  <c r="Z18" i="18"/>
  <c r="AL10" i="18"/>
  <c r="AL26" i="18"/>
  <c r="AF26" i="18"/>
  <c r="Z10" i="18"/>
  <c r="N18" i="18"/>
  <c r="T26" i="18"/>
  <c r="AF10" i="18"/>
  <c r="T34" i="18"/>
  <c r="N26" i="18"/>
  <c r="AL18" i="18"/>
  <c r="N10" i="18"/>
  <c r="AF18" i="18"/>
  <c r="Z26" i="18"/>
  <c r="AL34" i="18"/>
  <c r="P53" i="1"/>
  <c r="Z34" i="18"/>
  <c r="T10" i="18"/>
  <c r="Q53" i="1"/>
  <c r="AL42" i="18"/>
  <c r="N34" i="18"/>
  <c r="T42" i="18"/>
  <c r="P14" i="18"/>
  <c r="V22" i="18"/>
  <c r="V14" i="18"/>
  <c r="P22" i="18"/>
  <c r="V38" i="18"/>
  <c r="AH14" i="18"/>
  <c r="AH38" i="18"/>
  <c r="J14" i="18"/>
  <c r="AB22" i="18"/>
  <c r="V30" i="18"/>
  <c r="AB14" i="18"/>
  <c r="AB38" i="18"/>
  <c r="J30" i="18"/>
  <c r="P38" i="18"/>
  <c r="AB6" i="18"/>
  <c r="P11" i="1"/>
  <c r="AE11" i="1" s="1"/>
  <c r="AH30" i="18"/>
  <c r="J38" i="18"/>
  <c r="AH6" i="18"/>
  <c r="V6" i="18"/>
  <c r="AB30" i="18"/>
  <c r="J22" i="18"/>
  <c r="J6" i="18"/>
  <c r="P30" i="18"/>
  <c r="AH22" i="18"/>
  <c r="P6" i="18"/>
  <c r="Q11" i="1"/>
  <c r="AH12" i="18"/>
  <c r="J20" i="18"/>
  <c r="J44" i="18"/>
  <c r="AB28" i="18"/>
  <c r="P28" i="18"/>
  <c r="Q59" i="1"/>
  <c r="P12" i="18"/>
  <c r="AH20" i="18"/>
  <c r="P44" i="18"/>
  <c r="AB12" i="18"/>
  <c r="P20" i="18"/>
  <c r="J36" i="18"/>
  <c r="P36" i="18"/>
  <c r="AB44" i="18"/>
  <c r="V44" i="18"/>
  <c r="J28" i="18"/>
  <c r="AH36" i="18"/>
  <c r="V12" i="18"/>
  <c r="V28" i="18"/>
  <c r="AH44" i="18"/>
  <c r="AB20" i="18"/>
  <c r="AB36" i="18"/>
  <c r="AH28" i="18"/>
  <c r="V36" i="18"/>
  <c r="V20" i="18"/>
  <c r="P59" i="1"/>
  <c r="AE59" i="1" s="1"/>
  <c r="AD59" i="1" s="1"/>
  <c r="J12" i="18"/>
  <c r="AF24" i="18"/>
  <c r="AF32" i="18"/>
  <c r="T40" i="18"/>
  <c r="P35" i="1"/>
  <c r="AE35" i="1" s="1"/>
  <c r="Z40" i="18"/>
  <c r="AL8" i="18"/>
  <c r="AF8" i="18"/>
  <c r="T8" i="18"/>
  <c r="Z16" i="18"/>
  <c r="T24" i="18"/>
  <c r="AL24" i="18"/>
  <c r="Z32" i="18"/>
  <c r="N32" i="18"/>
  <c r="N16" i="18"/>
  <c r="Z8" i="18"/>
  <c r="AL40" i="18"/>
  <c r="N8" i="18"/>
  <c r="N24" i="18"/>
  <c r="T32" i="18"/>
  <c r="T16" i="18"/>
  <c r="AF40" i="18"/>
  <c r="AF16" i="18"/>
  <c r="AL32" i="18"/>
  <c r="N40" i="18"/>
  <c r="Z24" i="18"/>
  <c r="AL16" i="18"/>
  <c r="Q35" i="1"/>
  <c r="AD35" i="1" l="1"/>
  <c r="P41" i="19" s="1"/>
  <c r="AE36" i="1"/>
  <c r="AE17" i="1"/>
  <c r="J21" i="19"/>
  <c r="V41" i="19"/>
  <c r="AB31" i="19"/>
  <c r="AB51" i="19"/>
  <c r="J40" i="19"/>
  <c r="AB39" i="19"/>
  <c r="AB9" i="19"/>
  <c r="J29" i="19"/>
  <c r="AB49" i="19"/>
  <c r="P19" i="19"/>
  <c r="AH19" i="19"/>
  <c r="AB19" i="19"/>
  <c r="J39" i="19"/>
  <c r="J49" i="19"/>
  <c r="J9" i="19"/>
  <c r="AH49" i="19"/>
  <c r="V39" i="19"/>
  <c r="J19" i="19"/>
  <c r="AB29" i="19"/>
  <c r="V49" i="19"/>
  <c r="AH29" i="19"/>
  <c r="P39" i="19"/>
  <c r="V29" i="19"/>
  <c r="AH39" i="19"/>
  <c r="AH9" i="19"/>
  <c r="AF29" i="1"/>
  <c r="V9" i="19"/>
  <c r="P49" i="19"/>
  <c r="P9" i="19"/>
  <c r="P29" i="19"/>
  <c r="V19" i="19"/>
  <c r="AF23" i="1"/>
  <c r="P38" i="19"/>
  <c r="AH38" i="19"/>
  <c r="P48" i="19"/>
  <c r="AB18" i="19"/>
  <c r="J8" i="19"/>
  <c r="J18" i="19"/>
  <c r="AH8" i="19"/>
  <c r="AB48" i="19"/>
  <c r="V8" i="19"/>
  <c r="AH48" i="19"/>
  <c r="AH18" i="19"/>
  <c r="V18" i="19"/>
  <c r="J38" i="19"/>
  <c r="P18" i="19"/>
  <c r="J28" i="19"/>
  <c r="J48" i="19"/>
  <c r="V28" i="19"/>
  <c r="AB8" i="19"/>
  <c r="P28" i="19"/>
  <c r="AB28" i="19"/>
  <c r="V38" i="19"/>
  <c r="AH28" i="19"/>
  <c r="AB38" i="19"/>
  <c r="V48" i="19"/>
  <c r="P8" i="19"/>
  <c r="AD11" i="1"/>
  <c r="P16" i="19" s="1"/>
  <c r="AE12" i="1"/>
  <c r="AD12" i="1" s="1"/>
  <c r="V25" i="19"/>
  <c r="V45" i="19"/>
  <c r="J15" i="19"/>
  <c r="AB45" i="19"/>
  <c r="AH25" i="19"/>
  <c r="AH55" i="19"/>
  <c r="AB15" i="19"/>
  <c r="P15" i="19"/>
  <c r="P45" i="19"/>
  <c r="V15" i="19"/>
  <c r="J35" i="19"/>
  <c r="AH45" i="19"/>
  <c r="J25" i="19"/>
  <c r="AB35" i="19"/>
  <c r="AH15" i="19"/>
  <c r="V35" i="19"/>
  <c r="J55" i="19"/>
  <c r="AB55" i="19"/>
  <c r="AF59" i="1"/>
  <c r="AB25" i="19"/>
  <c r="AH35" i="19"/>
  <c r="P55" i="19"/>
  <c r="J45" i="19"/>
  <c r="P25" i="19"/>
  <c r="P35" i="19"/>
  <c r="V55" i="19"/>
  <c r="AH41" i="19" l="1"/>
  <c r="AH11" i="19"/>
  <c r="J11" i="19"/>
  <c r="AD36" i="1"/>
  <c r="Q31" i="19" s="1"/>
  <c r="AE37" i="1"/>
  <c r="AD37" i="1" s="1"/>
  <c r="AH21" i="19"/>
  <c r="V11" i="19"/>
  <c r="AH51" i="19"/>
  <c r="P31" i="19"/>
  <c r="V31" i="19"/>
  <c r="V51" i="19"/>
  <c r="AB11" i="19"/>
  <c r="AF35" i="1"/>
  <c r="P21" i="19"/>
  <c r="AH31" i="19"/>
  <c r="J31" i="19"/>
  <c r="P11" i="19"/>
  <c r="P51" i="19"/>
  <c r="V21" i="19"/>
  <c r="AB21" i="19"/>
  <c r="J51" i="19"/>
  <c r="AB41" i="19"/>
  <c r="J41" i="19"/>
  <c r="Q51" i="19"/>
  <c r="AI31" i="19"/>
  <c r="K31" i="19"/>
  <c r="W11" i="19"/>
  <c r="AI41" i="19"/>
  <c r="K51" i="19"/>
  <c r="Q21" i="19"/>
  <c r="AD17" i="1"/>
  <c r="AE18" i="1"/>
  <c r="AD18" i="1" s="1"/>
  <c r="AF18" i="1" s="1"/>
  <c r="J20" i="19"/>
  <c r="AH50" i="19"/>
  <c r="P10" i="19"/>
  <c r="P20" i="19"/>
  <c r="AH20" i="19"/>
  <c r="AB10" i="19"/>
  <c r="P40" i="19"/>
  <c r="AH30" i="19"/>
  <c r="V50" i="19"/>
  <c r="AB40" i="19"/>
  <c r="J30" i="19"/>
  <c r="P30" i="19"/>
  <c r="AB30" i="19"/>
  <c r="AB50" i="19"/>
  <c r="V40" i="19"/>
  <c r="AH10" i="19"/>
  <c r="P50" i="19"/>
  <c r="AB20" i="19"/>
  <c r="AH40" i="19"/>
  <c r="J50" i="19"/>
  <c r="V30" i="19"/>
  <c r="V10" i="19"/>
  <c r="V20" i="19"/>
  <c r="J10" i="19"/>
  <c r="AC50" i="19"/>
  <c r="K40" i="19"/>
  <c r="K10" i="19"/>
  <c r="AI20" i="19"/>
  <c r="K20" i="19"/>
  <c r="AI30" i="19"/>
  <c r="W20" i="19"/>
  <c r="W30" i="19"/>
  <c r="W10" i="19"/>
  <c r="AI50" i="19"/>
  <c r="AC20" i="19"/>
  <c r="Q10" i="19"/>
  <c r="Q50" i="19"/>
  <c r="Q40" i="19"/>
  <c r="K50" i="19"/>
  <c r="AC10" i="19"/>
  <c r="AC30" i="19"/>
  <c r="AC40" i="19"/>
  <c r="Q30" i="19"/>
  <c r="K30" i="19"/>
  <c r="AI40" i="19"/>
  <c r="AI10" i="19"/>
  <c r="W50" i="19"/>
  <c r="W40" i="19"/>
  <c r="Q20" i="19"/>
  <c r="V36" i="19"/>
  <c r="V6" i="19"/>
  <c r="V16" i="19"/>
  <c r="P26" i="19"/>
  <c r="J26" i="19"/>
  <c r="V26" i="19"/>
  <c r="J36" i="19"/>
  <c r="J16" i="19"/>
  <c r="P36" i="19"/>
  <c r="AB26" i="19"/>
  <c r="AB36" i="19"/>
  <c r="J6" i="19"/>
  <c r="P46" i="19"/>
  <c r="AB6" i="19"/>
  <c r="AH36" i="19"/>
  <c r="AB46" i="19"/>
  <c r="AH46" i="19"/>
  <c r="V46" i="19"/>
  <c r="AH16" i="19"/>
  <c r="AH26" i="19"/>
  <c r="AH6" i="19"/>
  <c r="J46" i="19"/>
  <c r="AF11" i="1"/>
  <c r="AB16" i="19"/>
  <c r="P6" i="19"/>
  <c r="W36" i="19"/>
  <c r="AC36" i="19"/>
  <c r="K16" i="19"/>
  <c r="AI36" i="19"/>
  <c r="K46" i="19"/>
  <c r="AI46" i="19"/>
  <c r="AC46" i="19"/>
  <c r="Q46" i="19"/>
  <c r="AC26" i="19"/>
  <c r="AC16" i="19"/>
  <c r="W16" i="19"/>
  <c r="K36" i="19"/>
  <c r="Q26" i="19"/>
  <c r="AF12" i="1"/>
  <c r="Q6" i="19"/>
  <c r="K6" i="19"/>
  <c r="Q16" i="19"/>
  <c r="Q36" i="19"/>
  <c r="AC6" i="19"/>
  <c r="AI6" i="19"/>
  <c r="AI16" i="19"/>
  <c r="W6" i="19"/>
  <c r="AI26" i="19"/>
  <c r="W26" i="19"/>
  <c r="K26" i="19"/>
  <c r="W46" i="19"/>
  <c r="Q11" i="19" l="1"/>
  <c r="AI11" i="19"/>
  <c r="K21" i="19"/>
  <c r="Q41" i="19"/>
  <c r="W21" i="19"/>
  <c r="AC21" i="19"/>
  <c r="AF36" i="1"/>
  <c r="K11" i="19"/>
  <c r="AC11" i="19"/>
  <c r="AC41" i="19"/>
  <c r="AI21" i="19"/>
  <c r="AC51" i="19"/>
  <c r="W41" i="19"/>
  <c r="AI51" i="19"/>
  <c r="W51" i="19"/>
  <c r="AC31" i="19"/>
  <c r="W31" i="19"/>
  <c r="K41" i="19"/>
  <c r="AJ21" i="19"/>
  <c r="X21" i="19"/>
  <c r="AD21" i="19"/>
  <c r="AD51" i="19"/>
  <c r="AD31" i="19"/>
  <c r="R11" i="19"/>
  <c r="L51" i="19"/>
  <c r="R21" i="19"/>
  <c r="R31" i="19"/>
  <c r="AD41" i="19"/>
  <c r="AJ41" i="19"/>
  <c r="AJ11" i="19"/>
  <c r="L31" i="19"/>
  <c r="AJ51" i="19"/>
  <c r="R51" i="19"/>
  <c r="AF37" i="1"/>
  <c r="X31" i="19"/>
  <c r="L41" i="19"/>
  <c r="X11" i="19"/>
  <c r="AD11" i="19"/>
  <c r="X41" i="19"/>
  <c r="L21" i="19"/>
  <c r="AJ31" i="19"/>
  <c r="L11" i="19"/>
  <c r="X51" i="19"/>
  <c r="R41" i="19"/>
  <c r="K47" i="19"/>
  <c r="AI17" i="19"/>
  <c r="Q27" i="19"/>
  <c r="K37" i="19"/>
  <c r="Q37" i="19"/>
  <c r="K27" i="19"/>
  <c r="Q7" i="19"/>
  <c r="AI7" i="19"/>
  <c r="W37" i="19"/>
  <c r="AC17" i="19"/>
  <c r="AC27" i="19"/>
  <c r="AC7" i="19"/>
  <c r="AI27" i="19"/>
  <c r="AI47" i="19"/>
  <c r="K17" i="19"/>
  <c r="W27" i="19"/>
  <c r="Q17" i="19"/>
  <c r="W7" i="19"/>
  <c r="AC37" i="19"/>
  <c r="J17" i="19"/>
  <c r="AB17" i="19"/>
  <c r="AH27" i="19"/>
  <c r="AH7" i="19"/>
  <c r="P37" i="19"/>
  <c r="AB37" i="19"/>
  <c r="J37" i="19"/>
  <c r="P7" i="19"/>
  <c r="AH37" i="19"/>
  <c r="P27" i="19"/>
  <c r="V47" i="19"/>
  <c r="AH17" i="19"/>
  <c r="AH47" i="19"/>
  <c r="V7" i="19"/>
  <c r="J47" i="19"/>
  <c r="V17" i="19"/>
  <c r="AB47" i="19"/>
  <c r="P17" i="19"/>
  <c r="J7" i="19"/>
  <c r="J27" i="19"/>
  <c r="V27" i="19"/>
  <c r="V37" i="19"/>
  <c r="AB27" i="19"/>
  <c r="AB7" i="19"/>
  <c r="P47" i="19"/>
  <c r="AF17" i="1"/>
  <c r="AC47" i="19"/>
  <c r="W47" i="19"/>
  <c r="W17" i="19"/>
  <c r="AI37" i="19"/>
  <c r="K7" i="19"/>
  <c r="Q4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Andru</author>
    <author>User</author>
  </authors>
  <commentList>
    <comment ref="D6" authorId="0" shapeId="0" xr:uid="{00000000-0006-0000-0100-000001000000}">
      <text>
        <r>
          <rPr>
            <b/>
            <sz val="9"/>
            <color indexed="81"/>
            <rFont val="Tahoma"/>
            <family val="2"/>
          </rPr>
          <t>Traer la Información de la caracterización del proceso.</t>
        </r>
      </text>
    </comment>
    <comment ref="D7" authorId="0" shapeId="0" xr:uid="{00000000-0006-0000-0100-000002000000}">
      <text>
        <r>
          <rPr>
            <b/>
            <sz val="9"/>
            <color indexed="81"/>
            <rFont val="Tahoma"/>
            <family val="2"/>
          </rPr>
          <t>Traer la Información de la caracterización del proceso.</t>
        </r>
        <r>
          <rPr>
            <sz val="9"/>
            <color indexed="81"/>
            <rFont val="Tahoma"/>
            <family val="2"/>
          </rPr>
          <t xml:space="preserve">
</t>
        </r>
      </text>
    </comment>
    <comment ref="A9" authorId="0" shapeId="0" xr:uid="{00000000-0006-0000-0100-000003000000}">
      <text>
        <r>
          <rPr>
            <b/>
            <sz val="9"/>
            <color indexed="81"/>
            <rFont val="Tahoma"/>
            <family val="2"/>
          </rPr>
          <t>Número consecutivo de los riesgos que se identifican.</t>
        </r>
        <r>
          <rPr>
            <sz val="9"/>
            <color indexed="81"/>
            <rFont val="Tahoma"/>
            <family val="2"/>
          </rPr>
          <t xml:space="preserve">
</t>
        </r>
      </text>
    </comment>
    <comment ref="B9" authorId="0" shapeId="0" xr:uid="{00000000-0006-0000-0100-000004000000}">
      <text>
        <r>
          <rPr>
            <b/>
            <sz val="9"/>
            <color indexed="81"/>
            <rFont val="Tahoma"/>
            <family val="2"/>
          </rPr>
          <t>Consulte su matriz de activos de información.</t>
        </r>
      </text>
    </comment>
    <comment ref="C9" authorId="1" shapeId="0" xr:uid="{00000000-0006-0000-0100-000005000000}">
      <text>
        <r>
          <rPr>
            <b/>
            <sz val="9"/>
            <color indexed="81"/>
            <rFont val="Tahoma"/>
            <family val="2"/>
          </rPr>
          <t>Consulte su matriz de activos de información.</t>
        </r>
      </text>
    </comment>
    <comment ref="E9" authorId="0" shapeId="0" xr:uid="{00000000-0006-0000-0100-000006000000}">
      <text>
        <r>
          <rPr>
            <b/>
            <sz val="9"/>
            <color indexed="81"/>
            <rFont val="Tahoma"/>
            <family val="2"/>
          </rPr>
          <t>En el manual de gestión de riesgos de seguridad de la información, encontrará sugerencias de AMENAZAS que puede usar o ajustar según se requiera.</t>
        </r>
      </text>
    </comment>
    <comment ref="F9" authorId="0" shapeId="0" xr:uid="{00000000-0006-0000-0100-00000700000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T9" authorId="0" shapeId="0" xr:uid="{00000000-0006-0000-0100-000008000000}">
      <text>
        <r>
          <rPr>
            <b/>
            <sz val="9"/>
            <color indexed="81"/>
            <rFont val="Tahoma"/>
            <family val="2"/>
          </rPr>
          <t>Este campo es automático y se diligencia al seleccionar el tipo de control (Columna 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<sst xmlns="http://schemas.openxmlformats.org/spreadsheetml/2006/main" count="517" uniqueCount="341">
  <si>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</si>
  <si>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</si>
  <si>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</si>
  <si>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</si>
  <si>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</si>
  <si>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</si>
  <si>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</si>
  <si>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</si>
  <si>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</si>
  <si>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</si>
  <si>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</si>
  <si>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</si>
  <si>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</si>
  <si>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</si>
  <si>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</si>
  <si>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</si>
  <si>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</si>
  <si>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</si>
  <si>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</si>
  <si>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</si>
  <si>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</si>
  <si>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</si>
  <si>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</si>
  <si>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</si>
  <si>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</si>
  <si>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</si>
  <si>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</si>
  <si>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</si>
  <si>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</si>
  <si>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</si>
  <si>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</si>
  <si>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</si>
  <si>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</si>
  <si>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</si>
  <si>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</si>
  <si>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</si>
  <si>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</si>
  <si>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</si>
  <si>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</si>
  <si>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</si>
  <si>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</si>
  <si>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</si>
  <si>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</si>
  <si>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</si>
  <si>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</si>
  <si>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</si>
  <si>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</si>
  <si>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</si>
  <si>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</si>
  <si>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</si>
  <si>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</si>
  <si>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</si>
  <si>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</si>
  <si>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</si>
  <si>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</si>
  <si>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</si>
  <si>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</si>
  <si>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</si>
  <si>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</si>
  <si>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</si>
  <si>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</si>
  <si>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</si>
  <si>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</si>
  <si>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</si>
  <si>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</si>
  <si>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</si>
  <si>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</si>
  <si>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</si>
  <si>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</si>
  <si>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</si>
  <si>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</si>
  <si>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</si>
  <si>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</si>
  <si>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</si>
  <si>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</si>
  <si>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</si>
  <si>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</si>
  <si>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</si>
  <si>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</si>
  <si>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</si>
  <si>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</si>
  <si>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</si>
  <si>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</si>
  <si>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</si>
  <si>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</si>
  <si>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</si>
  <si>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</si>
  <si>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</si>
  <si>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</si>
  <si>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</si>
  <si>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</si>
  <si>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</si>
  <si>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</si>
  <si>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</si>
  <si>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</si>
  <si>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</si>
  <si>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</si>
  <si>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</si>
  <si>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</si>
  <si>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</si>
  <si>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</si>
  <si>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</si>
  <si>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</si>
  <si>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</si>
  <si>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</si>
  <si>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</si>
  <si>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</si>
  <si>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</si>
  <si>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</si>
  <si>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</si>
  <si>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</si>
  <si>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</si>
  <si>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</si>
  <si>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</si>
  <si>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</si>
  <si>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</si>
  <si>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</si>
  <si>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</si>
  <si>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</si>
  <si>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</si>
  <si>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</si>
  <si>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</si>
  <si>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</si>
  <si>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</si>
  <si>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</si>
  <si>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</si>
  <si>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</si>
  <si>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</si>
  <si>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</si>
  <si>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</si>
  <si>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</si>
  <si>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</si>
  <si>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</si>
  <si>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</si>
  <si>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</si>
  <si>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</si>
  <si>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</si>
  <si>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</si>
  <si>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</si>
  <si>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</si>
  <si>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</si>
  <si>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</si>
  <si>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</si>
  <si>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</si>
  <si>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</si>
  <si>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</si>
  <si>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</si>
  <si>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</si>
  <si>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</si>
  <si>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</si>
  <si>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</si>
  <si>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</si>
  <si>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</si>
  <si>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</si>
  <si>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</si>
  <si>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</si>
  <si>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</si>
  <si>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</si>
  <si>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</si>
  <si>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</si>
  <si>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</si>
  <si>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</si>
  <si>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</si>
  <si>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</si>
  <si>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</si>
  <si>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</si>
  <si>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</si>
  <si>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</si>
  <si>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</si>
  <si>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</si>
  <si>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</si>
  <si>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</si>
  <si>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</si>
  <si>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</si>
  <si>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</si>
  <si>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</si>
  <si>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</si>
  <si>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</si>
  <si>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</si>
  <si>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</si>
  <si>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</si>
  <si>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</si>
  <si>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</si>
  <si>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</si>
  <si>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</si>
  <si>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</si>
  <si>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</si>
  <si>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</si>
  <si>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</si>
  <si>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</si>
  <si>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</si>
  <si>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</si>
  <si>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</si>
  <si>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</si>
  <si>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</si>
  <si>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</si>
  <si>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</si>
  <si>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</si>
  <si>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</si>
  <si>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</si>
  <si>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</si>
  <si>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</si>
  <si>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</si>
  <si>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</si>
  <si>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</si>
  <si>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</si>
  <si>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</si>
  <si>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</si>
  <si>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</si>
  <si>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</si>
  <si>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</si>
  <si>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</si>
  <si>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</si>
  <si>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</si>
  <si>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</si>
  <si>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</si>
  <si>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</si>
  <si>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</si>
  <si>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</si>
  <si>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</si>
  <si>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</si>
  <si>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</si>
  <si>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</si>
  <si>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</si>
  <si>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</si>
  <si>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</si>
  <si>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</si>
  <si>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</si>
  <si>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</si>
  <si>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</si>
  <si>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</si>
  <si>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</si>
  <si>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</si>
  <si>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</si>
  <si>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</si>
  <si>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</si>
  <si>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</si>
  <si>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</si>
  <si>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OFICINA DE CONTROL INTERNO</t>
  </si>
  <si>
    <t>OFICINA ASESORA DE COMUNICACIONES</t>
  </si>
  <si>
    <t>OFICINA ASESORA DE PLANEACIÓN</t>
  </si>
  <si>
    <t>OFICINA DE TECNOLOGÍAS DE LA INFORMACIÓN</t>
  </si>
  <si>
    <t>DIRECCIÓN DE FOMENTO</t>
  </si>
  <si>
    <t>DIRECCIÓN DE ASUNTOS LOCALES Y PARTICIPACIÓN</t>
  </si>
  <si>
    <t>DIRECCIÓN DE PERSONAS JURÍDICAS</t>
  </si>
  <si>
    <t>GESTIÓN DOCUMENTAL</t>
  </si>
  <si>
    <t xml:space="preserve">GESTIÓN DEL DIRECCIONAMIENTO ESTRATÉGICO </t>
  </si>
  <si>
    <t>GESTIÓN  JURÍDICA</t>
  </si>
  <si>
    <t xml:space="preserve">GESTIÓN ADMINISTRATIVA </t>
  </si>
  <si>
    <t>GESTIÓN CONTRACTUAL</t>
  </si>
  <si>
    <t xml:space="preserve">GESTIÓN DE INVESTIGACIONES, OBSERVACIONES Y ANALÍTICA DE LA CULTURA, LA RECREACIÓN Y EL DEPORTE </t>
  </si>
  <si>
    <t xml:space="preserve">GESTIÓN DE LA APROPIACIÓN DE LA INFRAESTRUCTURA Y PATRIMONIO CULTURAL  
</t>
  </si>
  <si>
    <t xml:space="preserve">GESTIÓN DE LA COMUNICACIÓN ESTRATÉGICA  </t>
  </si>
  <si>
    <t xml:space="preserve">GESTIÓN DE LA CULTURA CIUDADANA  </t>
  </si>
  <si>
    <t xml:space="preserve">GESTIÓN DE LA EVALUACIÓN INDEPENDIENTE </t>
  </si>
  <si>
    <t xml:space="preserve">GESTIÓN DE LA FORMULACIÓN Y SEGUIMIENTO DE POLÍTICA PÚBLICA </t>
  </si>
  <si>
    <t xml:space="preserve">GESTIÓN DE LA MEJORA CONTINUA </t>
  </si>
  <si>
    <t xml:space="preserve">GESTIÓN DE LA PARTICIPACIÓN CIUDADANA </t>
  </si>
  <si>
    <t xml:space="preserve">GESTIÓN DE LA PROMOCIÓN DE AGENTES Y PRÁCTICAS CULTURALES Y RECREODEPORTIVAS  </t>
  </si>
  <si>
    <t xml:space="preserve">GESTIÓN DE TALENTO HUMANO </t>
  </si>
  <si>
    <t xml:space="preserve">GESTIÓN DE TECNOLOGÍAS DE LA INFORMACIÓN Y LAS COMUNICACIONES  </t>
  </si>
  <si>
    <t>GESTIÓN DEL CONOCIMIENTO Y LA INNOVACIÒN</t>
  </si>
  <si>
    <t>GESTIÓN DEL CONTROL DISCIPLINARIO INTERNO</t>
  </si>
  <si>
    <t xml:space="preserve">GESTIÓN DEL RELACIONAMIENTO CON LA CIUDADANÍA 
</t>
  </si>
  <si>
    <t xml:space="preserve">GESTIÓN FINANCIERA  </t>
  </si>
  <si>
    <t>GESTIÒN DE LECTURA, ESCRITURA Y ORALIDAD</t>
  </si>
  <si>
    <t>CONTRATOS</t>
  </si>
  <si>
    <t>DESPACHO</t>
  </si>
  <si>
    <t>DIRECCIÓN  DE LECTURA Y BIBLIOTECAS</t>
  </si>
  <si>
    <t>DIRECCIÓN DE ARTE, CULTURA Y PATRIMONIO</t>
  </si>
  <si>
    <t>DIRECCIÓN DE ECONOMIA ESTUDIOS Y POLÍTICA</t>
  </si>
  <si>
    <t>DIRECCIÓN DE GESTIÓN CORPORATIVA Y RELACIÓN CON EL CIUDADANO</t>
  </si>
  <si>
    <t>DIRECCIÓN DE OBSERVATIORIO Y GESTIÓN DEL CONOCIMIENTO CULTURAL</t>
  </si>
  <si>
    <t>DIRECCIÓN DE REDES A ACCIÓN COLECTIVA</t>
  </si>
  <si>
    <t>DIRECCIÓN DE TRANSFORMACIONES CULTURALES</t>
  </si>
  <si>
    <t>FINANCIERA</t>
  </si>
  <si>
    <t>OFICINA DE CONTROL DISCIPLINARIO INTERNO</t>
  </si>
  <si>
    <t>OFICINA JURÍDICA</t>
  </si>
  <si>
    <t>SERVICIOS ADMINISTRTAIVOS</t>
  </si>
  <si>
    <t>SUBDIRECCIÓN DE GESTIÓN CULTURAL Y ARTISTICA</t>
  </si>
  <si>
    <t>SUBDIRECCIÓN DE INFRAESTRUCTURA Y PATRIMONIO CULTURAL</t>
  </si>
  <si>
    <t>SUBSECRETARÍA DE GOBERNANZA</t>
  </si>
  <si>
    <t xml:space="preserve">SUBSECRETARÍA DISTRITAL DE CULTURA CIUDADANA Y GESTIÓN DEL CONOCIMIENTO </t>
  </si>
  <si>
    <t>TALENTO HUMANO</t>
  </si>
  <si>
    <t>NOMBRE DEL ACTIVO</t>
  </si>
  <si>
    <t>Diligencie el objetivo del proceso o dependencia. Consulte la caracterización del proceso o dependencia en MIPG</t>
  </si>
  <si>
    <t>Diligencie el alcance del proceso o dependencia. Consulte la caracterización del proceso o dependencia en MIPG</t>
  </si>
  <si>
    <r>
      <t xml:space="preserve">Circunstancias bajo las cuales se presenta el riesgo, es la situación más evidente frente al riesgo, redacte de la forma más concreta posible. 
En el manual de gestión de riesgos de seguridad de la información, consulte el numeral </t>
    </r>
    <r>
      <rPr>
        <b/>
        <sz val="9"/>
        <rFont val="Arial Narrow"/>
        <family val="2"/>
      </rPr>
      <t>10.3</t>
    </r>
    <r>
      <rPr>
        <sz val="9"/>
        <rFont val="Arial Narrow"/>
        <family val="2"/>
      </rPr>
      <t xml:space="preserve"> </t>
    </r>
    <r>
      <rPr>
        <b/>
        <sz val="9"/>
        <rFont val="Arial Narrow"/>
        <family val="2"/>
      </rPr>
      <t>Amenazas</t>
    </r>
    <r>
      <rPr>
        <sz val="9"/>
        <rFont val="Arial Narrow"/>
        <family val="2"/>
      </rPr>
      <t>, verifique en la tabla de Amenazas si hay algunas de las amenazas comunes que le aplique, o adáptela de acuerdo a su necesidad, recuerde que la información allí consignada es una guía de referencia.</t>
    </r>
  </si>
  <si>
    <r>
      <t>Causa principal o básica, corresponde a las razones por la cuales se puede presentar el riesgo por la falta de un control, redacte de la forma más concreta posible.
En el manual de gestión de riesgos de seguridad de la información, consulte el numeral</t>
    </r>
    <r>
      <rPr>
        <b/>
        <sz val="9"/>
        <rFont val="Arial Narrow"/>
        <family val="2"/>
      </rPr>
      <t xml:space="preserve"> 10.2 Vulnerabilidades</t>
    </r>
    <r>
      <rPr>
        <sz val="9"/>
        <rFont val="Arial Narrow"/>
        <family val="2"/>
      </rPr>
      <t>, verifique en la tabla de Vulnerabilidades si hay algunas de las vulnerabilidades comunes que le aplique, o adáptela de acuerdo a su necesidad, recuerde que la información allí consignada es una guía de referencia.</t>
    </r>
  </si>
  <si>
    <r>
      <t xml:space="preserve">Seleccione de la Lista desplegable el tipo de riesgo, hay 3 riesgos asociados a seguridad de la información y 4 asociados a bases de datos personales.
En el manual de gestión de riesgos de seguridad de la información, consulte el numeral </t>
    </r>
    <r>
      <rPr>
        <b/>
        <sz val="9"/>
        <rFont val="Arial Narrow"/>
        <family val="2"/>
      </rPr>
      <t>10.1 Riesgos de Seguridad de la Información y Bases de Datos Personales.</t>
    </r>
  </si>
  <si>
    <r>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t>
    </r>
    <r>
      <rPr>
        <b/>
        <sz val="9"/>
        <rFont val="Arial Narrow"/>
        <family val="2"/>
      </rPr>
      <t>12.1 Probabilidad</t>
    </r>
    <r>
      <rPr>
        <sz val="9"/>
        <rFont val="Arial Narrow"/>
        <family val="2"/>
      </rPr>
      <t>, en el cual se encuentra la tabla Análisis de Probabilidad, con la descripción de cada uno, de igual forma también se encuentra en el instrumento en la hoja “Tabla Probabilidad”.</t>
    </r>
  </si>
  <si>
    <r>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t>
    </r>
    <r>
      <rPr>
        <b/>
        <sz val="9"/>
        <rFont val="Arial Narrow"/>
        <family val="2"/>
      </rPr>
      <t>12.2 Impacto</t>
    </r>
    <r>
      <rPr>
        <sz val="9"/>
        <rFont val="Arial Narrow"/>
        <family val="2"/>
      </rPr>
      <t>, en el cual se encuentra la tabla Análisis de Impacto.</t>
    </r>
  </si>
  <si>
    <t>Formato Mapa Riesgos SCRD 2023</t>
  </si>
  <si>
    <t xml:space="preserve">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t>
  </si>
  <si>
    <t>Nombre del Activo</t>
  </si>
  <si>
    <t>Consulte la matriz de activos de su proceso o dependencia según corresponda,   y copie en nombre del activo identificado para iniiar con la identificación de sus riesgos.</t>
  </si>
  <si>
    <t>Promover las transformaciones culturales de comportamientos ciudadanos mediante la estructuración de lineamientos, estrategias y/o acciones de cultura ciudadana para fomentar la corresponsabilidad y participación activa de la ciudadanía.</t>
  </si>
  <si>
    <t>Inicia con el diseño de lineamientos para las estrategias de cultura ciudadana y finaliza con la toma de decisiones y acciones de mejora en la Cultura Ciudadana</t>
  </si>
  <si>
    <t>ESCUELA HOMBRES AL CUIDADO</t>
  </si>
  <si>
    <t>LÍNEA CALMA</t>
  </si>
  <si>
    <t>Incumplimiento contractual</t>
  </si>
  <si>
    <t>Afectación en la prestación del servicio</t>
  </si>
  <si>
    <t>Falta de recursos para la prestación del servicio</t>
  </si>
  <si>
    <t>Entorno politico cambiante puede afectar la gestión de recursos, inversiones y mejoras</t>
  </si>
  <si>
    <t>Pandemias</t>
  </si>
  <si>
    <t>Ausencia de elementos y equipos para la adecuada prestación de las capacitaciones</t>
  </si>
  <si>
    <t>Insuficiente personal para la adecuada prestación del servicio.                                               Control inadecuado del acceso físico.         Inadecuada segregación de funciones             Insuficiente supervisión.                    Empleados desmotivados.</t>
  </si>
  <si>
    <t>Posibilidad de pérdida de disponibilidad por falta de recursos de personal que afecten la prestación del servicio.</t>
  </si>
  <si>
    <t>El profesional designado por el área, realizará de manera semestral, un monitoreo y revisión de la contratación y vencimiento de los contratos para garantizar la continuidad y prestación del servicio.</t>
  </si>
  <si>
    <t>El profesional designado, realizará un monitoreo mensual de la existencia y buen estado de los elementos y equipos utilizados para la prestación del servicio.</t>
  </si>
  <si>
    <t>Exposición de información clasificada o reservada por errores de
configuración.</t>
  </si>
  <si>
    <t>Tratar datos personales inadecuados y excesivos para la finalidad del
tratamiento</t>
  </si>
  <si>
    <t>Tratar datos personales con una finalidad distinta para la cual fueron recolectados.</t>
  </si>
  <si>
    <t>Almacenar los datos personales, por tiempos superiores a los
necesarios, según su finalidad de tratamiento</t>
  </si>
  <si>
    <t>Violaciones de la confidencialidad de los datos personales por parte de
los funcionarios, contratistas o proveedores externos de la SCRD</t>
  </si>
  <si>
    <t>Información no actualizada o incorrecta (Registros duplicados con
información inconsistente o con campos de datos incorrectos)</t>
  </si>
  <si>
    <t>Fallas en la plataforma tecnológica para control y validación de los campos
que registran información de datos personales</t>
  </si>
  <si>
    <t xml:space="preserve">Ausencia de lineamientos para el tratamiento de datos personales.        Ausencia o carencia de personal que se encargue de la implementación
de los temas relacionados con protección de los datos personales.                Ausencia de evidencia de la autorización para recolección y tratamiento
de datos personales.                            </t>
  </si>
  <si>
    <t>Posibilidad de pérdida de integridad por Información no actualizada o incorrecta (Registros duplicados con
información inconsistente o con campos de datos incorrectos)</t>
  </si>
  <si>
    <t>Deficiencia en la prestación del servicio por parte del operador</t>
  </si>
  <si>
    <t>Fallas en la prestación del servicio del centro de contacto</t>
  </si>
  <si>
    <t>Eventos naturales, por temblores, inundaciones, lluvias, sequias, entre otras.</t>
  </si>
  <si>
    <t>Dificultades para el cumplimiento de las obligaciones del contrato.</t>
  </si>
  <si>
    <t>Cambio en la programación de las actividades.</t>
  </si>
  <si>
    <t>Posibilidad de pérdidad de disponibilidad por incumplimiento de relaciones contractuales, fallas técnicas o errores en la manipulación de la infraestructura tecnológica.</t>
  </si>
  <si>
    <t>Posibilidad de pérdida de disponibilidad por no contar con un profesional idóneo que lidere el funcionamiento de la estrategia.</t>
  </si>
  <si>
    <t>Fallas en la programación de actividades.                                                Falta de información o desconocimiento de los elementos que afectan la seguridad de la información.</t>
  </si>
  <si>
    <t>Posibilidad de pérdida de confidencialidad por exposicion de la informacion claificada y reservada por ausencia de roles en el acceso a la información.</t>
  </si>
  <si>
    <t>El responsable o lider de la estrategia, revisará  de manera semestral los derechos de acceso de todos los empleados y de usuarios externos a la información y a las instalaciones de procesamiento de información se deberán retirar al terminar su empleo, contrato o acuerdo, o se deberán ajustar cuando se hagan cambios.</t>
  </si>
  <si>
    <t>El responsable o lider de la estrategia, realizará un backups de manera mensual para la protección y salvaguarda de la información.</t>
  </si>
  <si>
    <t>Demora en los trámites de perfeccionamiento para iniciar la ejecución del contrato, por Incumplimiento de los
requisitos de ejecución.</t>
  </si>
  <si>
    <t>Equipos técnicos inadecuados.</t>
  </si>
  <si>
    <t>Ataque informático para acceder a información clasificada o reservada.</t>
  </si>
  <si>
    <t>Errores en la manipulación de la infraestructura tecnologica, fallas tecnicas y falta de monitoreo.</t>
  </si>
  <si>
    <t>El profesional encargado de la supervisión del contrato, realizará de manera mensual seguimiento a los controles implementados en la matriz de riesgos previamentye diseñada para mitigar los riesgos identificados.</t>
  </si>
  <si>
    <t>Equipos humanos o técnicos inadecuados o
insuficientes, por deficiencias en la planeación contractual.</t>
  </si>
  <si>
    <t>Errores humanos en el cumplimiento de las funciones.</t>
  </si>
  <si>
    <t>Sobrecarga laboral.</t>
  </si>
  <si>
    <t>Modificación indebida de la información.</t>
  </si>
  <si>
    <t>ORIENTACIÓN LÍNEA CALMA</t>
  </si>
  <si>
    <t>El Director de la Dependencia garantizará que se cuente con un documento que contenga orientaciones metodológicas para el lider de la estestrategia.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</si>
</sst>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color rgb="FF000000"/>
      <name val="Calibri"/>
      <family val="2"/>
      <scheme val="minor"/>
    </font>
    <font>
      <sz val="11"/>
      <color theme="1"/>
      <name val="Calibri"/>
      <family val="2"/>
    </font>
    <font>
      <b/>
      <sz val="16"/>
      <color theme="1"/>
      <name val="Arial Narrow"/>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theme="7" tint="0.59999389629810485"/>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cellStyleXfs>
  <cellXfs count="42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17" borderId="33" xfId="5" applyFont="1" applyFill="1" applyBorder="1" applyAlignment="1">
      <alignment horizontal="center" vertical="center" wrapText="1"/>
    </xf>
    <xf numFmtId="0" fontId="59" fillId="17" borderId="77" xfId="5" applyFont="1" applyFill="1" applyBorder="1" applyAlignment="1">
      <alignment vertical="center" wrapText="1"/>
    </xf>
    <xf numFmtId="0" fontId="60"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76"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164" fontId="1" fillId="0" borderId="2" xfId="1" applyNumberFormat="1" applyFont="1" applyFill="1" applyBorder="1" applyAlignment="1">
      <alignment horizontal="center" vertical="top"/>
    </xf>
    <xf numFmtId="0" fontId="64" fillId="19" borderId="79" xfId="4" applyFont="1" applyFill="1" applyBorder="1" applyAlignment="1">
      <alignment horizontal="left" vertical="top" wrapText="1"/>
    </xf>
    <xf numFmtId="0" fontId="64" fillId="20" borderId="80" xfId="4" applyFont="1" applyFill="1" applyBorder="1" applyAlignment="1">
      <alignment horizontal="left" vertical="top" wrapText="1"/>
    </xf>
    <xf numFmtId="0" fontId="64" fillId="21" borderId="80" xfId="4" applyFont="1" applyFill="1" applyBorder="1" applyAlignment="1">
      <alignment horizontal="left" vertical="top" wrapText="1"/>
    </xf>
    <xf numFmtId="0" fontId="0" fillId="0" borderId="80" xfId="0" applyBorder="1" applyAlignment="1">
      <alignment horizontal="left" vertical="top"/>
    </xf>
    <xf numFmtId="0" fontId="64" fillId="3" borderId="80" xfId="4" applyFont="1" applyFill="1" applyBorder="1" applyAlignment="1">
      <alignment horizontal="left" vertical="top" wrapText="1"/>
    </xf>
    <xf numFmtId="0" fontId="64" fillId="0" borderId="80" xfId="4" applyFont="1" applyBorder="1" applyAlignment="1">
      <alignment horizontal="left" vertical="top"/>
    </xf>
    <xf numFmtId="0" fontId="64" fillId="19" borderId="80" xfId="4" applyFont="1" applyFill="1" applyBorder="1" applyAlignment="1">
      <alignment horizontal="left" vertical="top" wrapText="1"/>
    </xf>
    <xf numFmtId="0" fontId="64" fillId="0" borderId="81" xfId="4" applyFont="1" applyBorder="1"/>
    <xf numFmtId="0" fontId="65" fillId="3" borderId="79" xfId="0" applyFont="1" applyFill="1" applyBorder="1" applyAlignment="1">
      <alignment vertical="top" wrapText="1"/>
    </xf>
    <xf numFmtId="0" fontId="65" fillId="3" borderId="80" xfId="0" applyFont="1" applyFill="1" applyBorder="1" applyAlignment="1">
      <alignment vertical="top" wrapText="1"/>
    </xf>
    <xf numFmtId="0" fontId="65" fillId="3" borderId="81" xfId="0" applyFont="1" applyFill="1" applyBorder="1" applyAlignment="1">
      <alignment vertical="top" wrapText="1"/>
    </xf>
    <xf numFmtId="0" fontId="4" fillId="22" borderId="2" xfId="0" applyFont="1" applyFill="1" applyBorder="1" applyAlignment="1">
      <alignment horizontal="center" vertical="center" textRotation="90"/>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3" borderId="0" xfId="0" applyFont="1" applyFill="1" applyAlignment="1">
      <alignment horizontal="left" vertical="center"/>
    </xf>
    <xf numFmtId="0" fontId="26" fillId="22" borderId="28" xfId="0" applyFont="1" applyFill="1" applyBorder="1" applyAlignment="1">
      <alignment horizontal="center" vertical="center"/>
    </xf>
    <xf numFmtId="0" fontId="26" fillId="22" borderId="29" xfId="0" applyFont="1" applyFill="1" applyBorder="1" applyAlignment="1">
      <alignment horizontal="center" vertical="center"/>
    </xf>
    <xf numFmtId="0" fontId="26" fillId="22" borderId="30" xfId="0" applyFont="1" applyFill="1" applyBorder="1" applyAlignment="1">
      <alignment horizontal="center" vertical="center"/>
    </xf>
    <xf numFmtId="0" fontId="26" fillId="22" borderId="3" xfId="0" applyFont="1" applyFill="1" applyBorder="1" applyAlignment="1">
      <alignment horizontal="center" vertical="center"/>
    </xf>
    <xf numFmtId="0" fontId="26" fillId="22" borderId="31" xfId="0" applyFont="1" applyFill="1" applyBorder="1" applyAlignment="1">
      <alignment horizontal="center" vertical="center"/>
    </xf>
    <xf numFmtId="0" fontId="26" fillId="22" borderId="32" xfId="0" applyFont="1" applyFill="1" applyBorder="1" applyAlignment="1">
      <alignment horizontal="center" vertical="center"/>
    </xf>
    <xf numFmtId="0" fontId="25" fillId="22" borderId="6" xfId="0" applyFont="1" applyFill="1" applyBorder="1" applyAlignment="1">
      <alignment horizontal="center" vertical="center"/>
    </xf>
    <xf numFmtId="0" fontId="25" fillId="22" borderId="10" xfId="0" applyFont="1" applyFill="1" applyBorder="1" applyAlignment="1">
      <alignment horizontal="center" vertical="center"/>
    </xf>
    <xf numFmtId="0" fontId="25" fillId="22" borderId="7" xfId="0" applyFont="1" applyFill="1" applyBorder="1" applyAlignment="1">
      <alignment horizontal="center" vertical="center"/>
    </xf>
    <xf numFmtId="0" fontId="66" fillId="22" borderId="6" xfId="0" applyFont="1" applyFill="1" applyBorder="1" applyAlignment="1">
      <alignment horizontal="center" vertical="center"/>
    </xf>
    <xf numFmtId="0" fontId="66" fillId="22" borderId="10" xfId="0" applyFont="1" applyFill="1" applyBorder="1" applyAlignment="1">
      <alignment horizontal="center" vertical="center"/>
    </xf>
    <xf numFmtId="0" fontId="66" fillId="22" borderId="7" xfId="0" applyFont="1" applyFill="1" applyBorder="1" applyAlignment="1">
      <alignment horizontal="center" vertical="center"/>
    </xf>
    <xf numFmtId="0" fontId="4" fillId="22" borderId="2" xfId="0" applyFont="1" applyFill="1" applyBorder="1" applyAlignment="1">
      <alignment horizontal="center" vertical="center" wrapText="1"/>
    </xf>
    <xf numFmtId="0" fontId="27" fillId="22" borderId="4" xfId="0" applyFont="1" applyFill="1" applyBorder="1" applyAlignment="1">
      <alignment horizontal="center" vertical="center" textRotation="90"/>
    </xf>
    <xf numFmtId="0" fontId="27" fillId="22" borderId="5" xfId="0" applyFont="1" applyFill="1" applyBorder="1" applyAlignment="1">
      <alignment horizontal="center" vertical="center" textRotation="90"/>
    </xf>
    <xf numFmtId="0" fontId="4" fillId="22" borderId="4"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2" borderId="5"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4" xfId="0" applyFont="1" applyFill="1" applyBorder="1" applyAlignment="1">
      <alignment horizontal="center" vertical="center" textRotation="90" wrapText="1"/>
    </xf>
    <xf numFmtId="0" fontId="4" fillId="2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2" borderId="2" xfId="0" applyFont="1" applyFill="1" applyBorder="1" applyAlignment="1">
      <alignment horizontal="center" vertical="center" textRotation="90" wrapText="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22" borderId="8" xfId="0" applyFont="1" applyFill="1" applyBorder="1" applyAlignment="1">
      <alignment horizontal="center" vertical="center" wrapText="1"/>
    </xf>
    <xf numFmtId="0" fontId="4" fillId="22" borderId="9" xfId="0" applyFont="1" applyFill="1" applyBorder="1" applyAlignment="1">
      <alignment horizontal="center" vertical="center"/>
    </xf>
    <xf numFmtId="0" fontId="4" fillId="22" borderId="3" xfId="0" applyFont="1" applyFill="1" applyBorder="1" applyAlignment="1">
      <alignment horizontal="center" vertical="center"/>
    </xf>
    <xf numFmtId="0" fontId="4" fillId="22" borderId="9" xfId="0" applyFont="1" applyFill="1" applyBorder="1" applyAlignment="1">
      <alignment horizontal="center" vertical="center" wrapText="1"/>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25" fillId="22" borderId="6" xfId="0" applyFont="1" applyFill="1" applyBorder="1" applyAlignment="1">
      <alignment horizontal="left" vertical="center"/>
    </xf>
    <xf numFmtId="0" fontId="25" fillId="22" borderId="10" xfId="0" applyFont="1" applyFill="1" applyBorder="1" applyAlignment="1">
      <alignment horizontal="left" vertical="center"/>
    </xf>
    <xf numFmtId="0" fontId="25" fillId="22" borderId="7" xfId="0" applyFont="1" applyFill="1" applyBorder="1" applyAlignment="1">
      <alignment horizontal="left" vertical="center"/>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59" fillId="17" borderId="77" xfId="5" applyFont="1" applyFill="1" applyBorder="1" applyAlignment="1">
      <alignment horizontal="center" vertical="center" wrapText="1"/>
    </xf>
    <xf numFmtId="0" fontId="59" fillId="17" borderId="78" xfId="5" applyFont="1" applyFill="1" applyBorder="1" applyAlignment="1">
      <alignment horizontal="center" vertical="center" wrapText="1"/>
    </xf>
    <xf numFmtId="0" fontId="60" fillId="3" borderId="75" xfId="0" applyFont="1" applyFill="1" applyBorder="1" applyAlignment="1">
      <alignment horizontal="center" vertical="center" wrapText="1"/>
    </xf>
    <xf numFmtId="0" fontId="60" fillId="3" borderId="76" xfId="0" applyFont="1" applyFill="1" applyBorder="1" applyAlignment="1">
      <alignment horizontal="center" vertical="center" wrapText="1"/>
    </xf>
    <xf numFmtId="0" fontId="60" fillId="3" borderId="34" xfId="0" applyFont="1" applyFill="1" applyBorder="1" applyAlignment="1">
      <alignment horizontal="center" vertical="center" wrapText="1"/>
    </xf>
  </cellXfs>
  <cellStyles count="6">
    <cellStyle name="Énfasis6" xfId="5" builtinId="49"/>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89">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797894097224" createdVersion="6" refreshedVersion="8" minRefreshableVersion="3" recordCount="10" xr:uid="{00000000-000A-0000-FFFF-FFFF02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ng. Andru" refreshedDate="44719.820464814817" createdVersion="8" refreshedVersion="8" minRefreshableVersion="3" recordCount="7" xr:uid="{00000000-000A-0000-FFFF-FFFF03000000}">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88" dataDxfId="87">
  <autoFilter ref="B209:C219" xr:uid="{00000000-0009-0000-0100-000001000000}"/>
  <tableColumns count="2">
    <tableColumn id="1" xr3:uid="{00000000-0010-0000-0000-000001000000}" name="Criterios" dataDxfId="86"/>
    <tableColumn id="2" xr3:uid="{00000000-0010-0000-0000-000002000000}" name="Subcriterios" dataDxfId="8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5" displayName="Tabla5" ref="B228:C235" totalsRowShown="0" dataDxfId="84">
  <autoFilter ref="B228:C235" xr:uid="{00000000-0009-0000-0100-000005000000}"/>
  <tableColumns count="2">
    <tableColumn id="1" xr3:uid="{00000000-0010-0000-0100-000001000000}" name="Criterios" dataDxfId="83"/>
    <tableColumn id="2" xr3:uid="{00000000-0010-0000-0100-000002000000}" name="Subcriterios" dataDxfId="8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topLeftCell="A10" zoomScale="110" zoomScaleNormal="110" workbookViewId="0">
      <selection activeCell="G16" sqref="G16"/>
    </sheetView>
  </sheetViews>
  <sheetFormatPr baseColWidth="10" defaultColWidth="11.42578125" defaultRowHeight="15" x14ac:dyDescent="0.25"/>
  <cols>
    <col min="1" max="1" width="2.85546875" style="82" customWidth="1"/>
    <col min="2" max="3" width="24.5703125" style="82" customWidth="1"/>
    <col min="4" max="4" width="16" style="82" customWidth="1"/>
    <col min="5" max="5" width="24.5703125" style="82" customWidth="1"/>
    <col min="6" max="6" width="27.5703125" style="82" customWidth="1"/>
    <col min="7" max="8" width="24.5703125" style="82" customWidth="1"/>
    <col min="9" max="16384" width="11.42578125" style="82"/>
  </cols>
  <sheetData>
    <row r="1" spans="2:8" thickBot="1" x14ac:dyDescent="0.3"/>
    <row r="2" spans="2:8" ht="18.399999999999999" x14ac:dyDescent="0.25">
      <c r="B2" s="179" t="s">
        <v>148</v>
      </c>
      <c r="C2" s="180"/>
      <c r="D2" s="180"/>
      <c r="E2" s="180"/>
      <c r="F2" s="180"/>
      <c r="G2" s="180"/>
      <c r="H2" s="181"/>
    </row>
    <row r="3" spans="2:8" x14ac:dyDescent="0.3">
      <c r="B3" s="83"/>
      <c r="C3" s="84"/>
      <c r="D3" s="84"/>
      <c r="E3" s="84"/>
      <c r="F3" s="84"/>
      <c r="G3" s="84"/>
      <c r="H3" s="85"/>
    </row>
    <row r="4" spans="2:8" ht="63" customHeight="1" x14ac:dyDescent="0.25">
      <c r="B4" s="182" t="s">
        <v>172</v>
      </c>
      <c r="C4" s="183"/>
      <c r="D4" s="183"/>
      <c r="E4" s="183"/>
      <c r="F4" s="183"/>
      <c r="G4" s="183"/>
      <c r="H4" s="184"/>
    </row>
    <row r="5" spans="2:8" ht="63" customHeight="1" x14ac:dyDescent="0.25">
      <c r="B5" s="185"/>
      <c r="C5" s="186"/>
      <c r="D5" s="186"/>
      <c r="E5" s="186"/>
      <c r="F5" s="186"/>
      <c r="G5" s="186"/>
      <c r="H5" s="187"/>
    </row>
    <row r="6" spans="2:8" ht="14.25" x14ac:dyDescent="0.25">
      <c r="B6" s="188" t="s">
        <v>146</v>
      </c>
      <c r="C6" s="189"/>
      <c r="D6" s="189"/>
      <c r="E6" s="189"/>
      <c r="F6" s="189"/>
      <c r="G6" s="189"/>
      <c r="H6" s="190"/>
    </row>
    <row r="7" spans="2:8" ht="95.25" customHeight="1" x14ac:dyDescent="0.25">
      <c r="B7" s="198" t="s">
        <v>150</v>
      </c>
      <c r="C7" s="199"/>
      <c r="D7" s="199"/>
      <c r="E7" s="199"/>
      <c r="F7" s="199"/>
      <c r="G7" s="199"/>
      <c r="H7" s="200"/>
    </row>
    <row r="8" spans="2:8" ht="14.25" x14ac:dyDescent="0.25">
      <c r="B8" s="119"/>
      <c r="C8" s="120"/>
      <c r="D8" s="120"/>
      <c r="E8" s="120"/>
      <c r="F8" s="120"/>
      <c r="G8" s="120"/>
      <c r="H8" s="121"/>
    </row>
    <row r="9" spans="2:8" ht="16.5" customHeight="1" x14ac:dyDescent="0.25">
      <c r="B9" s="191" t="s">
        <v>165</v>
      </c>
      <c r="C9" s="192"/>
      <c r="D9" s="192"/>
      <c r="E9" s="192"/>
      <c r="F9" s="192"/>
      <c r="G9" s="192"/>
      <c r="H9" s="193"/>
    </row>
    <row r="10" spans="2:8" ht="44.45" customHeight="1" x14ac:dyDescent="0.25">
      <c r="B10" s="191"/>
      <c r="C10" s="192"/>
      <c r="D10" s="192"/>
      <c r="E10" s="192"/>
      <c r="F10" s="192"/>
      <c r="G10" s="192"/>
      <c r="H10" s="193"/>
    </row>
    <row r="11" spans="2:8" ht="15.6" thickBot="1" x14ac:dyDescent="0.35">
      <c r="B11" s="108"/>
      <c r="C11" s="111"/>
      <c r="D11" s="116"/>
      <c r="E11" s="117"/>
      <c r="F11" s="117"/>
      <c r="G11" s="118"/>
      <c r="H11" s="112"/>
    </row>
    <row r="12" spans="2:8" ht="15.75" thickTop="1" x14ac:dyDescent="0.25">
      <c r="B12" s="108"/>
      <c r="C12" s="194" t="s">
        <v>147</v>
      </c>
      <c r="D12" s="195"/>
      <c r="E12" s="196" t="s">
        <v>166</v>
      </c>
      <c r="F12" s="197"/>
      <c r="G12" s="111"/>
      <c r="H12" s="112"/>
    </row>
    <row r="13" spans="2:8" ht="35.450000000000003" customHeight="1" x14ac:dyDescent="0.25">
      <c r="B13" s="108"/>
      <c r="C13" s="166" t="s">
        <v>162</v>
      </c>
      <c r="D13" s="167"/>
      <c r="E13" s="168" t="s">
        <v>219</v>
      </c>
      <c r="F13" s="169"/>
      <c r="G13" s="111"/>
      <c r="H13" s="112"/>
    </row>
    <row r="14" spans="2:8" ht="35.450000000000003" customHeight="1" x14ac:dyDescent="0.25">
      <c r="B14" s="108"/>
      <c r="C14" s="166" t="s">
        <v>218</v>
      </c>
      <c r="D14" s="167"/>
      <c r="E14" s="168" t="s">
        <v>220</v>
      </c>
      <c r="F14" s="169"/>
      <c r="G14" s="111"/>
      <c r="H14" s="112"/>
    </row>
    <row r="15" spans="2:8" ht="25.9" customHeight="1" x14ac:dyDescent="0.25">
      <c r="B15" s="108"/>
      <c r="C15" s="166" t="s">
        <v>163</v>
      </c>
      <c r="D15" s="167"/>
      <c r="E15" s="168" t="s">
        <v>285</v>
      </c>
      <c r="F15" s="169"/>
      <c r="G15" s="111"/>
      <c r="H15" s="112"/>
    </row>
    <row r="16" spans="2:8" ht="25.15" customHeight="1" x14ac:dyDescent="0.25">
      <c r="B16" s="108"/>
      <c r="C16" s="166" t="s">
        <v>164</v>
      </c>
      <c r="D16" s="167"/>
      <c r="E16" s="168" t="s">
        <v>286</v>
      </c>
      <c r="F16" s="169"/>
      <c r="G16" s="111"/>
      <c r="H16" s="112"/>
    </row>
    <row r="17" spans="2:8" ht="21.2" customHeight="1" x14ac:dyDescent="0.3">
      <c r="B17" s="108"/>
      <c r="C17" s="166" t="s">
        <v>149</v>
      </c>
      <c r="D17" s="167"/>
      <c r="E17" s="168" t="s">
        <v>221</v>
      </c>
      <c r="F17" s="169"/>
      <c r="G17" s="111"/>
      <c r="H17" s="112"/>
    </row>
    <row r="18" spans="2:8" ht="83.45" customHeight="1" x14ac:dyDescent="0.25">
      <c r="B18" s="108"/>
      <c r="C18" s="164" t="s">
        <v>183</v>
      </c>
      <c r="D18" s="165"/>
      <c r="E18" s="162" t="s">
        <v>222</v>
      </c>
      <c r="F18" s="163"/>
      <c r="G18" s="111"/>
      <c r="H18" s="112"/>
    </row>
    <row r="19" spans="2:8" ht="83.45" customHeight="1" x14ac:dyDescent="0.25">
      <c r="B19" s="108"/>
      <c r="C19" s="147" t="s">
        <v>294</v>
      </c>
      <c r="D19" s="148"/>
      <c r="E19" s="162" t="s">
        <v>295</v>
      </c>
      <c r="F19" s="163"/>
      <c r="G19" s="111"/>
      <c r="H19" s="112"/>
    </row>
    <row r="20" spans="2:8" ht="34.5" customHeight="1" x14ac:dyDescent="0.25">
      <c r="B20" s="108"/>
      <c r="C20" s="164" t="s">
        <v>2</v>
      </c>
      <c r="D20" s="165"/>
      <c r="E20" s="162" t="s">
        <v>223</v>
      </c>
      <c r="F20" s="163"/>
      <c r="G20" s="111"/>
      <c r="H20" s="112"/>
    </row>
    <row r="21" spans="2:8" ht="87" customHeight="1" x14ac:dyDescent="0.25">
      <c r="B21" s="108"/>
      <c r="C21" s="170" t="s">
        <v>180</v>
      </c>
      <c r="D21" s="171"/>
      <c r="E21" s="162" t="s">
        <v>287</v>
      </c>
      <c r="F21" s="163"/>
      <c r="G21" s="111"/>
      <c r="H21" s="112"/>
    </row>
    <row r="22" spans="2:8" ht="103.35" customHeight="1" x14ac:dyDescent="0.25">
      <c r="B22" s="108"/>
      <c r="C22" s="170" t="s">
        <v>181</v>
      </c>
      <c r="D22" s="171"/>
      <c r="E22" s="162" t="s">
        <v>288</v>
      </c>
      <c r="F22" s="163"/>
      <c r="G22" s="111"/>
      <c r="H22" s="112"/>
    </row>
    <row r="23" spans="2:8" ht="72.75" customHeight="1" x14ac:dyDescent="0.25">
      <c r="B23" s="108"/>
      <c r="C23" s="170" t="s">
        <v>191</v>
      </c>
      <c r="D23" s="171"/>
      <c r="E23" s="162" t="s">
        <v>289</v>
      </c>
      <c r="F23" s="163"/>
      <c r="G23" s="111"/>
      <c r="H23" s="112"/>
    </row>
    <row r="24" spans="2:8" ht="72.75" customHeight="1" x14ac:dyDescent="0.25">
      <c r="B24" s="108"/>
      <c r="C24" s="170" t="s">
        <v>1</v>
      </c>
      <c r="D24" s="171"/>
      <c r="E24" s="162" t="s">
        <v>224</v>
      </c>
      <c r="F24" s="163"/>
      <c r="G24" s="111"/>
      <c r="H24" s="112"/>
    </row>
    <row r="25" spans="2:8" ht="85.7" customHeight="1" x14ac:dyDescent="0.25">
      <c r="B25" s="108"/>
      <c r="C25" s="170" t="s">
        <v>48</v>
      </c>
      <c r="D25" s="171"/>
      <c r="E25" s="162" t="s">
        <v>293</v>
      </c>
      <c r="F25" s="163"/>
      <c r="G25" s="111"/>
      <c r="H25" s="112"/>
    </row>
    <row r="26" spans="2:8" ht="106.15" customHeight="1" x14ac:dyDescent="0.25">
      <c r="B26" s="108"/>
      <c r="C26" s="170" t="s">
        <v>151</v>
      </c>
      <c r="D26" s="171"/>
      <c r="E26" s="162" t="s">
        <v>290</v>
      </c>
      <c r="F26" s="163"/>
      <c r="G26" s="111"/>
      <c r="H26" s="112"/>
    </row>
    <row r="27" spans="2:8" ht="87" customHeight="1" x14ac:dyDescent="0.25">
      <c r="B27" s="108"/>
      <c r="C27" s="164" t="s">
        <v>152</v>
      </c>
      <c r="D27" s="165"/>
      <c r="E27" s="162" t="s">
        <v>291</v>
      </c>
      <c r="F27" s="163"/>
      <c r="G27" s="111"/>
      <c r="H27" s="112"/>
    </row>
    <row r="28" spans="2:8" ht="42" customHeight="1" x14ac:dyDescent="0.25">
      <c r="B28" s="108"/>
      <c r="C28" s="164" t="s">
        <v>46</v>
      </c>
      <c r="D28" s="165"/>
      <c r="E28" s="162" t="s">
        <v>153</v>
      </c>
      <c r="F28" s="163"/>
      <c r="G28" s="111"/>
      <c r="H28" s="112"/>
    </row>
    <row r="29" spans="2:8" ht="30.6" customHeight="1" x14ac:dyDescent="0.25">
      <c r="B29" s="108"/>
      <c r="C29" s="164" t="s">
        <v>10</v>
      </c>
      <c r="D29" s="165"/>
      <c r="E29" s="162" t="s">
        <v>225</v>
      </c>
      <c r="F29" s="163"/>
      <c r="G29" s="111"/>
      <c r="H29" s="112"/>
    </row>
    <row r="30" spans="2:8" ht="59.25" customHeight="1" x14ac:dyDescent="0.25">
      <c r="B30" s="108"/>
      <c r="C30" s="164" t="s">
        <v>145</v>
      </c>
      <c r="D30" s="165"/>
      <c r="E30" s="162" t="s">
        <v>154</v>
      </c>
      <c r="F30" s="163"/>
      <c r="G30" s="111"/>
      <c r="H30" s="112"/>
    </row>
    <row r="31" spans="2:8" ht="27.75" customHeight="1" x14ac:dyDescent="0.25">
      <c r="B31" s="108"/>
      <c r="C31" s="164" t="s">
        <v>11</v>
      </c>
      <c r="D31" s="165"/>
      <c r="E31" s="162" t="s">
        <v>226</v>
      </c>
      <c r="F31" s="163"/>
      <c r="G31" s="111"/>
      <c r="H31" s="112"/>
    </row>
    <row r="32" spans="2:8" ht="41.45" customHeight="1" x14ac:dyDescent="0.25">
      <c r="B32" s="108"/>
      <c r="C32" s="164" t="s">
        <v>155</v>
      </c>
      <c r="D32" s="165"/>
      <c r="E32" s="162" t="s">
        <v>227</v>
      </c>
      <c r="F32" s="163"/>
      <c r="G32" s="111"/>
      <c r="H32" s="112"/>
    </row>
    <row r="33" spans="2:8" ht="35.450000000000003" customHeight="1" x14ac:dyDescent="0.25">
      <c r="B33" s="108"/>
      <c r="C33" s="164" t="s">
        <v>156</v>
      </c>
      <c r="D33" s="165"/>
      <c r="E33" s="162" t="s">
        <v>228</v>
      </c>
      <c r="F33" s="163"/>
      <c r="G33" s="111"/>
      <c r="H33" s="112"/>
    </row>
    <row r="34" spans="2:8" ht="30.2" customHeight="1" x14ac:dyDescent="0.25">
      <c r="B34" s="108"/>
      <c r="C34" s="164" t="s">
        <v>157</v>
      </c>
      <c r="D34" s="165"/>
      <c r="E34" s="162" t="s">
        <v>229</v>
      </c>
      <c r="F34" s="163"/>
      <c r="G34" s="111"/>
      <c r="H34" s="112"/>
    </row>
    <row r="35" spans="2:8" ht="35.450000000000003" customHeight="1" x14ac:dyDescent="0.25">
      <c r="B35" s="108"/>
      <c r="C35" s="164" t="s">
        <v>158</v>
      </c>
      <c r="D35" s="165"/>
      <c r="E35" s="162" t="s">
        <v>230</v>
      </c>
      <c r="F35" s="163"/>
      <c r="G35" s="111"/>
      <c r="H35" s="112"/>
    </row>
    <row r="36" spans="2:8" ht="31.7" customHeight="1" x14ac:dyDescent="0.25">
      <c r="B36" s="108"/>
      <c r="C36" s="164" t="s">
        <v>159</v>
      </c>
      <c r="D36" s="165"/>
      <c r="E36" s="162" t="s">
        <v>231</v>
      </c>
      <c r="F36" s="163"/>
      <c r="G36" s="111"/>
      <c r="H36" s="112"/>
    </row>
    <row r="37" spans="2:8" ht="35.450000000000003" customHeight="1" x14ac:dyDescent="0.25">
      <c r="B37" s="108"/>
      <c r="C37" s="164" t="s">
        <v>160</v>
      </c>
      <c r="D37" s="165"/>
      <c r="E37" s="162" t="s">
        <v>232</v>
      </c>
      <c r="F37" s="163"/>
      <c r="G37" s="111"/>
      <c r="H37" s="112"/>
    </row>
    <row r="38" spans="2:8" ht="101.45" customHeight="1" x14ac:dyDescent="0.25">
      <c r="B38" s="108"/>
      <c r="C38" s="164" t="s">
        <v>233</v>
      </c>
      <c r="D38" s="165"/>
      <c r="E38" s="162" t="s">
        <v>234</v>
      </c>
      <c r="F38" s="163"/>
      <c r="G38" s="111"/>
      <c r="H38" s="112"/>
    </row>
    <row r="39" spans="2:8" ht="29.25" customHeight="1" x14ac:dyDescent="0.25">
      <c r="B39" s="108"/>
      <c r="C39" s="164" t="s">
        <v>28</v>
      </c>
      <c r="D39" s="165"/>
      <c r="E39" s="162" t="s">
        <v>235</v>
      </c>
      <c r="F39" s="163"/>
      <c r="G39" s="111"/>
      <c r="H39" s="112"/>
    </row>
    <row r="40" spans="2:8" ht="82.5" customHeight="1" x14ac:dyDescent="0.25">
      <c r="B40" s="108"/>
      <c r="C40" s="164" t="s">
        <v>161</v>
      </c>
      <c r="D40" s="165"/>
      <c r="E40" s="162" t="s">
        <v>236</v>
      </c>
      <c r="F40" s="163"/>
      <c r="G40" s="111"/>
      <c r="H40" s="112"/>
    </row>
    <row r="41" spans="2:8" ht="46.5" customHeight="1" x14ac:dyDescent="0.25">
      <c r="B41" s="108"/>
      <c r="C41" s="164" t="s">
        <v>38</v>
      </c>
      <c r="D41" s="165"/>
      <c r="E41" s="162" t="s">
        <v>237</v>
      </c>
      <c r="F41" s="163"/>
      <c r="G41" s="111"/>
      <c r="H41" s="112"/>
    </row>
    <row r="42" spans="2:8" ht="6.75" customHeight="1" thickBot="1" x14ac:dyDescent="0.3">
      <c r="B42" s="108"/>
      <c r="C42" s="175"/>
      <c r="D42" s="176"/>
      <c r="E42" s="177"/>
      <c r="F42" s="178"/>
      <c r="G42" s="111"/>
      <c r="H42" s="112"/>
    </row>
    <row r="43" spans="2:8" ht="15.75" thickTop="1" x14ac:dyDescent="0.25">
      <c r="B43" s="108"/>
      <c r="C43" s="109"/>
      <c r="D43" s="109"/>
      <c r="E43" s="110"/>
      <c r="F43" s="110"/>
      <c r="G43" s="111"/>
      <c r="H43" s="112"/>
    </row>
    <row r="44" spans="2:8" ht="21.2" customHeight="1" x14ac:dyDescent="0.25">
      <c r="B44" s="172" t="s">
        <v>167</v>
      </c>
      <c r="C44" s="173"/>
      <c r="D44" s="173"/>
      <c r="E44" s="173"/>
      <c r="F44" s="173"/>
      <c r="G44" s="173"/>
      <c r="H44" s="174"/>
    </row>
    <row r="45" spans="2:8" ht="20.25" customHeight="1" x14ac:dyDescent="0.25">
      <c r="B45" s="172" t="s">
        <v>168</v>
      </c>
      <c r="C45" s="173"/>
      <c r="D45" s="173"/>
      <c r="E45" s="173"/>
      <c r="F45" s="173"/>
      <c r="G45" s="173"/>
      <c r="H45" s="174"/>
    </row>
    <row r="46" spans="2:8" ht="20.25" customHeight="1" x14ac:dyDescent="0.25">
      <c r="B46" s="172" t="s">
        <v>169</v>
      </c>
      <c r="C46" s="173"/>
      <c r="D46" s="173"/>
      <c r="E46" s="173"/>
      <c r="F46" s="173"/>
      <c r="G46" s="173"/>
      <c r="H46" s="174"/>
    </row>
    <row r="47" spans="2:8" ht="20.25" customHeight="1" x14ac:dyDescent="0.25">
      <c r="B47" s="172" t="s">
        <v>170</v>
      </c>
      <c r="C47" s="173"/>
      <c r="D47" s="173"/>
      <c r="E47" s="173"/>
      <c r="F47" s="173"/>
      <c r="G47" s="173"/>
      <c r="H47" s="174"/>
    </row>
    <row r="48" spans="2:8" x14ac:dyDescent="0.25">
      <c r="B48" s="172" t="s">
        <v>171</v>
      </c>
      <c r="C48" s="173"/>
      <c r="D48" s="173"/>
      <c r="E48" s="173"/>
      <c r="F48" s="173"/>
      <c r="G48" s="173"/>
      <c r="H48" s="174"/>
    </row>
    <row r="49" spans="2:8" ht="15.75" thickBot="1" x14ac:dyDescent="0.3">
      <c r="B49" s="113"/>
      <c r="C49" s="114"/>
      <c r="D49" s="114"/>
      <c r="E49" s="114"/>
      <c r="F49" s="114"/>
      <c r="G49" s="114"/>
      <c r="H49" s="115"/>
    </row>
  </sheetData>
  <mergeCells count="71">
    <mergeCell ref="E25:F25"/>
    <mergeCell ref="B2:H2"/>
    <mergeCell ref="B4:H5"/>
    <mergeCell ref="B6:H6"/>
    <mergeCell ref="B9:H10"/>
    <mergeCell ref="C12:D12"/>
    <mergeCell ref="E12:F12"/>
    <mergeCell ref="B7:H7"/>
    <mergeCell ref="C13:D13"/>
    <mergeCell ref="E13:F13"/>
    <mergeCell ref="C18:D18"/>
    <mergeCell ref="E18:F18"/>
    <mergeCell ref="C23:D23"/>
    <mergeCell ref="E23:F23"/>
    <mergeCell ref="E19:F19"/>
    <mergeCell ref="C14:D14"/>
    <mergeCell ref="E14:F14"/>
    <mergeCell ref="C22:D22"/>
    <mergeCell ref="C24:D24"/>
    <mergeCell ref="E21:F21"/>
    <mergeCell ref="E22:F22"/>
    <mergeCell ref="E24:F24"/>
    <mergeCell ref="C20:D20"/>
    <mergeCell ref="E20:F20"/>
    <mergeCell ref="B46:H46"/>
    <mergeCell ref="B47:H47"/>
    <mergeCell ref="B48:H48"/>
    <mergeCell ref="E27:F27"/>
    <mergeCell ref="C27:D27"/>
    <mergeCell ref="C28:D28"/>
    <mergeCell ref="E28:F28"/>
    <mergeCell ref="C31:D31"/>
    <mergeCell ref="E31:F31"/>
    <mergeCell ref="E38:F38"/>
    <mergeCell ref="C36:D36"/>
    <mergeCell ref="C35:D35"/>
    <mergeCell ref="E35:F35"/>
    <mergeCell ref="E36:F36"/>
    <mergeCell ref="C32:D32"/>
    <mergeCell ref="E32:F32"/>
    <mergeCell ref="C37:D37"/>
    <mergeCell ref="B44:H44"/>
    <mergeCell ref="C34:D34"/>
    <mergeCell ref="E34:F34"/>
    <mergeCell ref="E37:F37"/>
    <mergeCell ref="C38:D38"/>
    <mergeCell ref="C39:D39"/>
    <mergeCell ref="E39:F39"/>
    <mergeCell ref="C40:D40"/>
    <mergeCell ref="E40:F40"/>
    <mergeCell ref="B45:H45"/>
    <mergeCell ref="C42:D42"/>
    <mergeCell ref="E42:F42"/>
    <mergeCell ref="C41:D41"/>
    <mergeCell ref="E41:F41"/>
    <mergeCell ref="E33:F33"/>
    <mergeCell ref="C33:D33"/>
    <mergeCell ref="C17:D17"/>
    <mergeCell ref="E17:F17"/>
    <mergeCell ref="C15:D15"/>
    <mergeCell ref="E15:F15"/>
    <mergeCell ref="C16:D16"/>
    <mergeCell ref="E16:F16"/>
    <mergeCell ref="E26:F26"/>
    <mergeCell ref="C26:D26"/>
    <mergeCell ref="C30:D30"/>
    <mergeCell ref="E30:F30"/>
    <mergeCell ref="C29:D29"/>
    <mergeCell ref="E29:F29"/>
    <mergeCell ref="C25:D25"/>
    <mergeCell ref="C21:D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13</v>
      </c>
    </row>
    <row r="4" spans="1:1" x14ac:dyDescent="0.2">
      <c r="A4" s="9" t="s">
        <v>14</v>
      </c>
    </row>
    <row r="5" spans="1:1" x14ac:dyDescent="0.2">
      <c r="A5" s="9" t="s">
        <v>15</v>
      </c>
    </row>
    <row r="6" spans="1:1" x14ac:dyDescent="0.2">
      <c r="A6" s="9" t="s">
        <v>9</v>
      </c>
    </row>
    <row r="7" spans="1:1" x14ac:dyDescent="0.2">
      <c r="A7" s="9" t="s">
        <v>8</v>
      </c>
    </row>
    <row r="8" spans="1:1" x14ac:dyDescent="0.2">
      <c r="A8" s="9" t="s">
        <v>18</v>
      </c>
    </row>
    <row r="9" spans="1:1" x14ac:dyDescent="0.2">
      <c r="A9" s="9" t="s">
        <v>19</v>
      </c>
    </row>
    <row r="10" spans="1:1" x14ac:dyDescent="0.2">
      <c r="A10" s="9" t="s">
        <v>21</v>
      </c>
    </row>
    <row r="11" spans="1:1" x14ac:dyDescent="0.2">
      <c r="A11" s="9" t="s">
        <v>22</v>
      </c>
    </row>
    <row r="12" spans="1:1" x14ac:dyDescent="0.2">
      <c r="A12" s="9" t="s">
        <v>24</v>
      </c>
    </row>
    <row r="13" spans="1:1" x14ac:dyDescent="0.2">
      <c r="A13" s="9" t="s">
        <v>25</v>
      </c>
    </row>
    <row r="14" spans="1:1" x14ac:dyDescent="0.2">
      <c r="A14" s="9" t="s">
        <v>26</v>
      </c>
    </row>
    <row r="16" spans="1:1" x14ac:dyDescent="0.2">
      <c r="A16" s="9" t="s">
        <v>29</v>
      </c>
    </row>
    <row r="17" spans="1:1" x14ac:dyDescent="0.2">
      <c r="A17" s="9" t="s">
        <v>30</v>
      </c>
    </row>
    <row r="18" spans="1:1" x14ac:dyDescent="0.2">
      <c r="A18" s="9" t="s">
        <v>31</v>
      </c>
    </row>
    <row r="20" spans="1:1" x14ac:dyDescent="0.2">
      <c r="A20" s="9" t="s">
        <v>39</v>
      </c>
    </row>
    <row r="21" spans="1:1" x14ac:dyDescent="0.2">
      <c r="A21" s="9"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S67"/>
  <sheetViews>
    <sheetView tabSelected="1" zoomScaleNormal="100" workbookViewId="0">
      <selection activeCell="AG36" sqref="AG36"/>
    </sheetView>
  </sheetViews>
  <sheetFormatPr baseColWidth="10" defaultColWidth="11.42578125" defaultRowHeight="16.5" x14ac:dyDescent="0.3"/>
  <cols>
    <col min="1" max="1" width="4" style="2" bestFit="1" customWidth="1"/>
    <col min="2" max="3" width="27.42578125" style="2" customWidth="1"/>
    <col min="4" max="5" width="36.140625" style="2" customWidth="1"/>
    <col min="6" max="6" width="32.42578125" style="1" customWidth="1"/>
    <col min="7" max="8" width="36.140625" style="2" customWidth="1"/>
    <col min="9" max="9" width="19" style="5" customWidth="1"/>
    <col min="10" max="10" width="17.85546875" style="1" customWidth="1"/>
    <col min="11" max="11" width="16.42578125" style="1" customWidth="1"/>
    <col min="12" max="12" width="6.42578125" style="1" bestFit="1" customWidth="1"/>
    <col min="13" max="13" width="27.42578125" style="1" bestFit="1" customWidth="1"/>
    <col min="14" max="14" width="30.42578125" style="1" hidden="1" customWidth="1"/>
    <col min="15" max="15" width="17.42578125" style="1" customWidth="1"/>
    <col min="16" max="16" width="6.42578125" style="1" bestFit="1" customWidth="1"/>
    <col min="17" max="17" width="16" style="1" customWidth="1"/>
    <col min="18" max="18" width="5.85546875" style="1" customWidth="1"/>
    <col min="19" max="19" width="31" style="1" customWidth="1"/>
    <col min="20" max="20" width="15.140625" style="1" bestFit="1" customWidth="1"/>
    <col min="21" max="21" width="6.85546875" style="1" customWidth="1"/>
    <col min="22" max="22" width="5" style="1" customWidth="1"/>
    <col min="23" max="23" width="5.42578125" style="1" customWidth="1"/>
    <col min="24" max="24" width="7.140625" style="1" customWidth="1"/>
    <col min="25" max="25" width="6.5703125" style="1" customWidth="1"/>
    <col min="26" max="26" width="7.42578125" style="1" customWidth="1"/>
    <col min="27" max="27" width="38.42578125" style="1" customWidth="1"/>
    <col min="28" max="28" width="8.5703125" style="1" customWidth="1"/>
    <col min="29" max="29" width="10.42578125" style="1" customWidth="1"/>
    <col min="30" max="30" width="9.42578125" style="1" customWidth="1"/>
    <col min="31" max="31" width="9.140625" style="1" customWidth="1"/>
    <col min="32" max="32" width="8.42578125" style="1" customWidth="1"/>
    <col min="33" max="33" width="7.42578125" style="1" customWidth="1"/>
    <col min="34" max="34" width="23" style="1" customWidth="1"/>
    <col min="35" max="35" width="18.85546875" style="1" customWidth="1"/>
    <col min="36" max="36" width="16.85546875" style="1" customWidth="1"/>
    <col min="37" max="37" width="14.85546875" style="1" customWidth="1"/>
    <col min="38" max="38" width="18.42578125" style="1" customWidth="1"/>
    <col min="39" max="39" width="21" style="1" customWidth="1"/>
    <col min="40" max="16384" width="11.42578125" style="1"/>
  </cols>
  <sheetData>
    <row r="1" spans="1:71" ht="16.5" customHeight="1" x14ac:dyDescent="0.3">
      <c r="A1" s="214" t="s">
        <v>292</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6"/>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24" customHeight="1" x14ac:dyDescent="0.3">
      <c r="A2" s="217"/>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9"/>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x14ac:dyDescent="0.3">
      <c r="A3" s="27"/>
      <c r="B3" s="28"/>
      <c r="C3" s="28"/>
      <c r="D3" s="27"/>
      <c r="E3" s="27"/>
      <c r="F3" s="7"/>
      <c r="G3" s="27"/>
      <c r="H3" s="27"/>
      <c r="I3" s="26"/>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26.45" customHeight="1" x14ac:dyDescent="0.3">
      <c r="A4" s="263" t="s">
        <v>41</v>
      </c>
      <c r="B4" s="264"/>
      <c r="C4" s="265"/>
      <c r="D4" s="260" t="s">
        <v>253</v>
      </c>
      <c r="E4" s="261"/>
      <c r="F4" s="261"/>
      <c r="G4" s="261"/>
      <c r="H4" s="261"/>
      <c r="I4" s="261"/>
      <c r="J4" s="261"/>
      <c r="K4" s="261"/>
      <c r="L4" s="261"/>
      <c r="M4" s="261"/>
      <c r="N4" s="261"/>
      <c r="O4" s="261"/>
      <c r="P4" s="261"/>
      <c r="Q4" s="262"/>
      <c r="R4" s="213"/>
      <c r="S4" s="213"/>
      <c r="T4" s="213"/>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26.45" customHeight="1" x14ac:dyDescent="0.3">
      <c r="A5" s="263" t="s">
        <v>173</v>
      </c>
      <c r="B5" s="264"/>
      <c r="C5" s="265"/>
      <c r="D5" s="235" t="s">
        <v>274</v>
      </c>
      <c r="E5" s="236"/>
      <c r="F5" s="236"/>
      <c r="G5" s="236"/>
      <c r="H5" s="236"/>
      <c r="I5" s="236"/>
      <c r="J5" s="236"/>
      <c r="K5" s="236"/>
      <c r="L5" s="236"/>
      <c r="M5" s="236"/>
      <c r="N5" s="236"/>
      <c r="O5" s="236"/>
      <c r="P5" s="236"/>
      <c r="Q5" s="237"/>
      <c r="R5" s="213"/>
      <c r="S5" s="213"/>
      <c r="T5" s="213"/>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30.2" customHeight="1" x14ac:dyDescent="0.3">
      <c r="A6" s="263" t="s">
        <v>115</v>
      </c>
      <c r="B6" s="264"/>
      <c r="C6" s="265"/>
      <c r="D6" s="235" t="s">
        <v>296</v>
      </c>
      <c r="E6" s="236"/>
      <c r="F6" s="236"/>
      <c r="G6" s="236"/>
      <c r="H6" s="236"/>
      <c r="I6" s="236"/>
      <c r="J6" s="236"/>
      <c r="K6" s="236"/>
      <c r="L6" s="236"/>
      <c r="M6" s="236"/>
      <c r="N6" s="236"/>
      <c r="O6" s="236"/>
      <c r="P6" s="236"/>
      <c r="Q6" s="23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71" ht="49.7" customHeight="1" x14ac:dyDescent="0.3">
      <c r="A7" s="263" t="s">
        <v>42</v>
      </c>
      <c r="B7" s="264"/>
      <c r="C7" s="265"/>
      <c r="D7" s="238" t="s">
        <v>297</v>
      </c>
      <c r="E7" s="239"/>
      <c r="F7" s="239"/>
      <c r="G7" s="239"/>
      <c r="H7" s="239"/>
      <c r="I7" s="239"/>
      <c r="J7" s="239"/>
      <c r="K7" s="239"/>
      <c r="L7" s="239"/>
      <c r="M7" s="239"/>
      <c r="N7" s="239"/>
      <c r="O7" s="239"/>
      <c r="P7" s="239"/>
      <c r="Q7" s="240"/>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71" ht="41.45" customHeight="1" x14ac:dyDescent="0.3">
      <c r="A8" s="220" t="s">
        <v>123</v>
      </c>
      <c r="B8" s="221"/>
      <c r="C8" s="221"/>
      <c r="D8" s="221"/>
      <c r="E8" s="221"/>
      <c r="F8" s="221"/>
      <c r="G8" s="221"/>
      <c r="H8" s="221"/>
      <c r="I8" s="221"/>
      <c r="J8" s="222"/>
      <c r="K8" s="223" t="s">
        <v>124</v>
      </c>
      <c r="L8" s="224"/>
      <c r="M8" s="224"/>
      <c r="N8" s="224"/>
      <c r="O8" s="224"/>
      <c r="P8" s="224"/>
      <c r="Q8" s="225"/>
      <c r="R8" s="223" t="s">
        <v>125</v>
      </c>
      <c r="S8" s="224"/>
      <c r="T8" s="224"/>
      <c r="U8" s="224"/>
      <c r="V8" s="224"/>
      <c r="W8" s="224"/>
      <c r="X8" s="224"/>
      <c r="Y8" s="224"/>
      <c r="Z8" s="225"/>
      <c r="AA8" s="223" t="s">
        <v>126</v>
      </c>
      <c r="AB8" s="224"/>
      <c r="AC8" s="224"/>
      <c r="AD8" s="224"/>
      <c r="AE8" s="224"/>
      <c r="AF8" s="224"/>
      <c r="AG8" s="225"/>
      <c r="AH8" s="223" t="s">
        <v>33</v>
      </c>
      <c r="AI8" s="224"/>
      <c r="AJ8" s="224"/>
      <c r="AK8" s="224"/>
      <c r="AL8" s="224"/>
      <c r="AM8" s="225"/>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row>
    <row r="9" spans="1:71" ht="16.5" customHeight="1" x14ac:dyDescent="0.3">
      <c r="A9" s="227" t="s">
        <v>0</v>
      </c>
      <c r="B9" s="230" t="s">
        <v>182</v>
      </c>
      <c r="C9" s="229" t="s">
        <v>284</v>
      </c>
      <c r="D9" s="232" t="s">
        <v>2</v>
      </c>
      <c r="E9" s="229" t="s">
        <v>180</v>
      </c>
      <c r="F9" s="230" t="s">
        <v>181</v>
      </c>
      <c r="G9" s="231" t="s">
        <v>191</v>
      </c>
      <c r="H9" s="231" t="s">
        <v>1</v>
      </c>
      <c r="I9" s="229" t="s">
        <v>48</v>
      </c>
      <c r="J9" s="230" t="s">
        <v>119</v>
      </c>
      <c r="K9" s="256" t="s">
        <v>32</v>
      </c>
      <c r="L9" s="257" t="s">
        <v>4</v>
      </c>
      <c r="M9" s="229" t="s">
        <v>84</v>
      </c>
      <c r="N9" s="229" t="s">
        <v>89</v>
      </c>
      <c r="O9" s="259" t="s">
        <v>43</v>
      </c>
      <c r="P9" s="257" t="s">
        <v>4</v>
      </c>
      <c r="Q9" s="230" t="s">
        <v>46</v>
      </c>
      <c r="R9" s="233" t="s">
        <v>10</v>
      </c>
      <c r="S9" s="226" t="s">
        <v>145</v>
      </c>
      <c r="T9" s="229" t="s">
        <v>11</v>
      </c>
      <c r="U9" s="226" t="s">
        <v>7</v>
      </c>
      <c r="V9" s="226"/>
      <c r="W9" s="226"/>
      <c r="X9" s="226"/>
      <c r="Y9" s="226"/>
      <c r="Z9" s="226"/>
      <c r="AA9" s="241" t="s">
        <v>122</v>
      </c>
      <c r="AB9" s="241" t="s">
        <v>44</v>
      </c>
      <c r="AC9" s="241" t="s">
        <v>4</v>
      </c>
      <c r="AD9" s="241" t="s">
        <v>45</v>
      </c>
      <c r="AE9" s="241" t="s">
        <v>4</v>
      </c>
      <c r="AF9" s="241" t="s">
        <v>47</v>
      </c>
      <c r="AG9" s="233" t="s">
        <v>28</v>
      </c>
      <c r="AH9" s="226" t="s">
        <v>33</v>
      </c>
      <c r="AI9" s="226" t="s">
        <v>34</v>
      </c>
      <c r="AJ9" s="226" t="s">
        <v>35</v>
      </c>
      <c r="AK9" s="226" t="s">
        <v>37</v>
      </c>
      <c r="AL9" s="226" t="s">
        <v>36</v>
      </c>
      <c r="AM9" s="226" t="s">
        <v>38</v>
      </c>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row>
    <row r="10" spans="1:71" s="4" customFormat="1" ht="94.7" customHeight="1" x14ac:dyDescent="0.25">
      <c r="A10" s="228"/>
      <c r="B10" s="226"/>
      <c r="C10" s="230"/>
      <c r="D10" s="232"/>
      <c r="E10" s="230"/>
      <c r="F10" s="226"/>
      <c r="G10" s="232"/>
      <c r="H10" s="232"/>
      <c r="I10" s="230"/>
      <c r="J10" s="226"/>
      <c r="K10" s="230"/>
      <c r="L10" s="258"/>
      <c r="M10" s="230"/>
      <c r="N10" s="230"/>
      <c r="O10" s="258"/>
      <c r="P10" s="258"/>
      <c r="Q10" s="226"/>
      <c r="R10" s="234"/>
      <c r="S10" s="226"/>
      <c r="T10" s="230"/>
      <c r="U10" s="161" t="s">
        <v>12</v>
      </c>
      <c r="V10" s="161" t="s">
        <v>16</v>
      </c>
      <c r="W10" s="161" t="s">
        <v>27</v>
      </c>
      <c r="X10" s="161" t="s">
        <v>17</v>
      </c>
      <c r="Y10" s="161" t="s">
        <v>20</v>
      </c>
      <c r="Z10" s="161" t="s">
        <v>23</v>
      </c>
      <c r="AA10" s="241"/>
      <c r="AB10" s="241"/>
      <c r="AC10" s="241"/>
      <c r="AD10" s="241"/>
      <c r="AE10" s="241"/>
      <c r="AF10" s="241"/>
      <c r="AG10" s="234"/>
      <c r="AH10" s="226"/>
      <c r="AI10" s="226"/>
      <c r="AJ10" s="226"/>
      <c r="AK10" s="226"/>
      <c r="AL10" s="226"/>
      <c r="AM10" s="226"/>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row>
    <row r="11" spans="1:71" s="3" customFormat="1" ht="68.45" customHeight="1" x14ac:dyDescent="0.25">
      <c r="A11" s="242">
        <v>1</v>
      </c>
      <c r="B11" s="201" t="s">
        <v>187</v>
      </c>
      <c r="C11" s="201" t="s">
        <v>298</v>
      </c>
      <c r="D11" s="201" t="s">
        <v>116</v>
      </c>
      <c r="E11" s="137" t="s">
        <v>300</v>
      </c>
      <c r="F11" s="201" t="s">
        <v>306</v>
      </c>
      <c r="G11" s="245" t="s">
        <v>194</v>
      </c>
      <c r="H11" s="245" t="s">
        <v>307</v>
      </c>
      <c r="I11" s="201" t="s">
        <v>216</v>
      </c>
      <c r="J11" s="248">
        <v>320</v>
      </c>
      <c r="K11" s="207" t="str">
        <f>IF(J11&lt;=0,"",IF(J11&lt;=5,"Muy Baja",IF(J11&lt;=24,"Baja",IF(J11&lt;=150,"Media",IF(J11&lt;=300,"Alta","Muy Alta")))))</f>
        <v>Muy Alta</v>
      </c>
      <c r="L11" s="204">
        <f>IF(K11="","",IF(K11="Muy Baja",0.2,IF(K11="Baja",0.4,IF(K11="Media",0.6,IF(K11="Alta",0.8,IF(K11="Muy Alta",1,))))))</f>
        <v>1</v>
      </c>
      <c r="M11" s="251" t="s">
        <v>137</v>
      </c>
      <c r="N11" s="204" t="str">
        <f ca="1">IF(NOT(ISERROR(MATCH(M11,'Tabla Impacto'!$B$221:$B$223,0))),'Tabla Impacto'!$F$223&amp;"Por favor no seleccionar los criterios de impacto(Afectación Económica o presupuestal y Pérdida Reputacional)",M11)</f>
        <v xml:space="preserve">     El riesgo afecta la imagen de la entidad con algunos usuarios de relevancia frente al logro de los objetivos</v>
      </c>
      <c r="O11" s="207" t="str">
        <f ca="1">IF(OR(N11='Tabla Impacto'!$C$11,N11='Tabla Impacto'!$D$11),"Leve",IF(OR(N11='Tabla Impacto'!$C$12,N11='Tabla Impacto'!$D$12),"Menor",IF(OR(N11='Tabla Impacto'!$C$13,N11='Tabla Impacto'!$D$13),"Moderado",IF(OR(N11='Tabla Impacto'!$C$14,N11='Tabla Impacto'!$D$14),"Mayor",IF(OR(N11='Tabla Impacto'!$C$15,N11='Tabla Impacto'!$D$15),"Catastrófico","")))))</f>
        <v>Moderado</v>
      </c>
      <c r="P11" s="204">
        <f ca="1">IF(O11="","",IF(O11="Leve",0.2,IF(O11="Menor",0.4,IF(O11="Moderado",0.6,IF(O11="Mayor",0.8,IF(O11="Catastrófico",1,))))))</f>
        <v>0.6</v>
      </c>
      <c r="Q11" s="210" t="str">
        <f ca="1">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Alto</v>
      </c>
      <c r="R11" s="122">
        <v>1</v>
      </c>
      <c r="S11" s="123" t="s">
        <v>308</v>
      </c>
      <c r="T11" s="124" t="str">
        <f>IF(OR(U11="Preventivo",U11="Detectivo"),"Probabilidad",IF(U11="Correctivo","Impacto",""))</f>
        <v>Probabilidad</v>
      </c>
      <c r="U11" s="125" t="s">
        <v>13</v>
      </c>
      <c r="V11" s="125" t="s">
        <v>8</v>
      </c>
      <c r="W11" s="126" t="str">
        <f>IF(AND(U11="Preventivo",V11="Automático"),"50%",IF(AND(U11="Preventivo",V11="Manual"),"40%",IF(AND(U11="Detectivo",V11="Automático"),"40%",IF(AND(U11="Detectivo",V11="Manual"),"30%",IF(AND(U11="Correctivo",V11="Automático"),"35%",IF(AND(U11="Correctivo",V11="Manual"),"25%",""))))))</f>
        <v>40%</v>
      </c>
      <c r="X11" s="125" t="s">
        <v>19</v>
      </c>
      <c r="Y11" s="125" t="s">
        <v>21</v>
      </c>
      <c r="Z11" s="125" t="s">
        <v>111</v>
      </c>
      <c r="AA11" s="127">
        <f>IFERROR(IF(T11="Probabilidad",(L11-(+L11*W11)),IF(T11="Impacto",L11,"")),"")</f>
        <v>0.6</v>
      </c>
      <c r="AB11" s="128" t="str">
        <f>IFERROR(IF(AA11="","",IF(AA11&lt;=0.2,"Muy Baja",IF(AA11&lt;=0.4,"Baja",IF(AA11&lt;=0.6,"Media",IF(AA11&lt;=0.8,"Alta","Muy Alta"))))),"")</f>
        <v>Media</v>
      </c>
      <c r="AC11" s="129">
        <f>+AA11</f>
        <v>0.6</v>
      </c>
      <c r="AD11" s="128" t="str">
        <f ca="1">IFERROR(IF(AE11="","",IF(AE11&lt;=0.2,"Leve",IF(AE11&lt;=0.4,"Menor",IF(AE11&lt;=0.6,"Moderado",IF(AE11&lt;=0.8,"Mayor","Catastrófico"))))),"")</f>
        <v>Moderado</v>
      </c>
      <c r="AE11" s="129">
        <f ca="1">IFERROR(IF(T11="Impacto",(P11-(+P11*W11)),IF(T11="Probabilidad",P11,"")),"")</f>
        <v>0.6</v>
      </c>
      <c r="AF11" s="130" t="str">
        <f ca="1">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Moderado</v>
      </c>
      <c r="AG11" s="131" t="s">
        <v>30</v>
      </c>
      <c r="AH11" s="132"/>
      <c r="AI11" s="133"/>
      <c r="AJ11" s="134"/>
      <c r="AK11" s="134"/>
      <c r="AL11" s="132"/>
      <c r="AM11" s="133"/>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71" ht="68.45" customHeight="1" x14ac:dyDescent="0.3">
      <c r="A12" s="243"/>
      <c r="B12" s="202"/>
      <c r="C12" s="202"/>
      <c r="D12" s="202"/>
      <c r="E12" s="138" t="s">
        <v>301</v>
      </c>
      <c r="F12" s="202"/>
      <c r="G12" s="246"/>
      <c r="H12" s="246"/>
      <c r="I12" s="202"/>
      <c r="J12" s="249"/>
      <c r="K12" s="208"/>
      <c r="L12" s="205"/>
      <c r="M12" s="252"/>
      <c r="N12" s="205">
        <f ca="1">IF(NOT(ISERROR(MATCH(M12,_xlfn.ANCHORARRAY(H23),0))),L25&amp;"Por favor no seleccionar los criterios de impacto",M12)</f>
        <v>0</v>
      </c>
      <c r="O12" s="208"/>
      <c r="P12" s="205"/>
      <c r="Q12" s="211"/>
      <c r="R12" s="122">
        <v>2</v>
      </c>
      <c r="S12" s="123" t="s">
        <v>309</v>
      </c>
      <c r="T12" s="124" t="str">
        <f t="shared" ref="T12:T64" si="0">IF(OR(U12="Preventivo",U12="Detectivo"),"Probabilidad",IF(U12="Correctivo","Impacto",""))</f>
        <v>Probabilidad</v>
      </c>
      <c r="U12" s="125" t="s">
        <v>14</v>
      </c>
      <c r="V12" s="125" t="s">
        <v>8</v>
      </c>
      <c r="W12" s="126" t="str">
        <f t="shared" ref="W12:W16" si="1">IF(AND(U12="Preventivo",V12="Automático"),"50%",IF(AND(U12="Preventivo",V12="Manual"),"40%",IF(AND(U12="Detectivo",V12="Automático"),"40%",IF(AND(U12="Detectivo",V12="Manual"),"30%",IF(AND(U12="Correctivo",V12="Automático"),"35%",IF(AND(U12="Correctivo",V12="Manual"),"25%",""))))))</f>
        <v>30%</v>
      </c>
      <c r="X12" s="125" t="s">
        <v>19</v>
      </c>
      <c r="Y12" s="125" t="s">
        <v>21</v>
      </c>
      <c r="Z12" s="125" t="s">
        <v>111</v>
      </c>
      <c r="AA12" s="127">
        <f>IFERROR(IF(AND(T11="Probabilidad",T12="Probabilidad"),(AC11-(+AC11*W12)),IF(T12="Probabilidad",(L11-(+L11*W12)),IF(T12="Impacto",AC11,""))),"")</f>
        <v>0.42</v>
      </c>
      <c r="AB12" s="128" t="str">
        <f t="shared" ref="AB12:AB64" si="2">IFERROR(IF(AA12="","",IF(AA12&lt;=0.2,"Muy Baja",IF(AA12&lt;=0.4,"Baja",IF(AA12&lt;=0.6,"Media",IF(AA12&lt;=0.8,"Alta","Muy Alta"))))),"")</f>
        <v>Media</v>
      </c>
      <c r="AC12" s="129">
        <f t="shared" ref="AC12:AC16" si="3">+AA12</f>
        <v>0.42</v>
      </c>
      <c r="AD12" s="128" t="str">
        <f t="shared" ref="AD12:AD64" ca="1" si="4">IFERROR(IF(AE12="","",IF(AE12&lt;=0.2,"Leve",IF(AE12&lt;=0.4,"Menor",IF(AE12&lt;=0.6,"Moderado",IF(AE12&lt;=0.8,"Mayor","Catastrófico"))))),"")</f>
        <v>Moderado</v>
      </c>
      <c r="AE12" s="129">
        <f ca="1">IFERROR(IF(AND(T11="Impacto",T12="Impacto"),(AE11-(+AE11*W12)),IF(T12="Impacto",(P11-(+P11*W12)),IF(T12="Probabilidad",AE11,""))),"")</f>
        <v>0.6</v>
      </c>
      <c r="AF12" s="130" t="str">
        <f t="shared" ref="AF12:AF16" ca="1" si="5">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Moderado</v>
      </c>
      <c r="AG12" s="131" t="s">
        <v>30</v>
      </c>
      <c r="AH12" s="132"/>
      <c r="AI12" s="133"/>
      <c r="AJ12" s="134"/>
      <c r="AK12" s="134"/>
      <c r="AL12" s="132"/>
      <c r="AM12" s="133"/>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row>
    <row r="13" spans="1:71" ht="68.45" customHeight="1" x14ac:dyDescent="0.3">
      <c r="A13" s="243"/>
      <c r="B13" s="202"/>
      <c r="C13" s="202"/>
      <c r="D13" s="202"/>
      <c r="E13" s="138" t="s">
        <v>302</v>
      </c>
      <c r="F13" s="202"/>
      <c r="G13" s="246"/>
      <c r="H13" s="246"/>
      <c r="I13" s="202"/>
      <c r="J13" s="249"/>
      <c r="K13" s="208"/>
      <c r="L13" s="205"/>
      <c r="M13" s="252"/>
      <c r="N13" s="205">
        <f ca="1">IF(NOT(ISERROR(MATCH(M13,_xlfn.ANCHORARRAY(H24),0))),L26&amp;"Por favor no seleccionar los criterios de impacto",M13)</f>
        <v>0</v>
      </c>
      <c r="O13" s="208"/>
      <c r="P13" s="205"/>
      <c r="Q13" s="211"/>
      <c r="R13" s="122">
        <v>3</v>
      </c>
      <c r="S13" s="135"/>
      <c r="T13" s="124" t="str">
        <f t="shared" si="0"/>
        <v/>
      </c>
      <c r="U13" s="125"/>
      <c r="V13" s="125"/>
      <c r="W13" s="126" t="str">
        <f t="shared" si="1"/>
        <v/>
      </c>
      <c r="X13" s="125"/>
      <c r="Y13" s="125"/>
      <c r="Z13" s="125"/>
      <c r="AA13" s="127" t="str">
        <f>IFERROR(IF(AND(T12="Probabilidad",T13="Probabilidad"),(AC12-(+AC12*W13)),IF(AND(T12="Impacto",T13="Probabilidad"),(AC11-(+AC11*W13)),IF(T13="Impacto",AC12,""))),"")</f>
        <v/>
      </c>
      <c r="AB13" s="128" t="str">
        <f t="shared" si="2"/>
        <v/>
      </c>
      <c r="AC13" s="129" t="str">
        <f t="shared" si="3"/>
        <v/>
      </c>
      <c r="AD13" s="128" t="str">
        <f t="shared" si="4"/>
        <v/>
      </c>
      <c r="AE13" s="129" t="str">
        <f>IFERROR(IF(AND(T12="Impacto",T13="Impacto"),(AE12-(+AE12*W13)),IF(AND(T12="Probabilidad",T13="Impacto"),(AE11-(+AE11*W13)),IF(T13="Probabilidad",AE12,""))),"")</f>
        <v/>
      </c>
      <c r="AF13" s="130" t="str">
        <f t="shared" si="5"/>
        <v/>
      </c>
      <c r="AG13" s="131"/>
      <c r="AH13" s="132"/>
      <c r="AI13" s="133"/>
      <c r="AJ13" s="134"/>
      <c r="AK13" s="134"/>
      <c r="AL13" s="132"/>
      <c r="AM13" s="133"/>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row>
    <row r="14" spans="1:71" ht="68.45" customHeight="1" x14ac:dyDescent="0.3">
      <c r="A14" s="243"/>
      <c r="B14" s="202"/>
      <c r="C14" s="202"/>
      <c r="D14" s="202"/>
      <c r="E14" s="138" t="s">
        <v>303</v>
      </c>
      <c r="F14" s="202"/>
      <c r="G14" s="246"/>
      <c r="H14" s="246"/>
      <c r="I14" s="202"/>
      <c r="J14" s="249"/>
      <c r="K14" s="208"/>
      <c r="L14" s="205"/>
      <c r="M14" s="252"/>
      <c r="N14" s="205">
        <f ca="1">IF(NOT(ISERROR(MATCH(M14,_xlfn.ANCHORARRAY(H25),0))),L27&amp;"Por favor no seleccionar los criterios de impacto",M14)</f>
        <v>0</v>
      </c>
      <c r="O14" s="208"/>
      <c r="P14" s="205"/>
      <c r="Q14" s="211"/>
      <c r="R14" s="122">
        <v>4</v>
      </c>
      <c r="S14" s="123"/>
      <c r="T14" s="124" t="str">
        <f t="shared" si="0"/>
        <v/>
      </c>
      <c r="U14" s="125"/>
      <c r="V14" s="125"/>
      <c r="W14" s="126" t="str">
        <f t="shared" si="1"/>
        <v/>
      </c>
      <c r="X14" s="125"/>
      <c r="Y14" s="125"/>
      <c r="Z14" s="125"/>
      <c r="AA14" s="127" t="str">
        <f t="shared" ref="AA14:AA16" si="6">IFERROR(IF(AND(T13="Probabilidad",T14="Probabilidad"),(AC13-(+AC13*W14)),IF(AND(T13="Impacto",T14="Probabilidad"),(AC12-(+AC12*W14)),IF(T14="Impacto",AC13,""))),"")</f>
        <v/>
      </c>
      <c r="AB14" s="128" t="str">
        <f t="shared" si="2"/>
        <v/>
      </c>
      <c r="AC14" s="129" t="str">
        <f t="shared" si="3"/>
        <v/>
      </c>
      <c r="AD14" s="128" t="str">
        <f t="shared" si="4"/>
        <v/>
      </c>
      <c r="AE14" s="129" t="str">
        <f t="shared" ref="AE14:AE16" si="7">IFERROR(IF(AND(T13="Impacto",T14="Impacto"),(AE13-(+AE13*W14)),IF(AND(T13="Probabilidad",T14="Impacto"),(AE12-(+AE12*W14)),IF(T14="Probabilidad",AE13,""))),"")</f>
        <v/>
      </c>
      <c r="AF14" s="130" t="str">
        <f>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1"/>
      <c r="AH14" s="132"/>
      <c r="AI14" s="133"/>
      <c r="AJ14" s="134"/>
      <c r="AK14" s="134"/>
      <c r="AL14" s="132"/>
      <c r="AM14" s="133"/>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68.45" customHeight="1" x14ac:dyDescent="0.3">
      <c r="A15" s="243"/>
      <c r="B15" s="202"/>
      <c r="C15" s="202"/>
      <c r="D15" s="202"/>
      <c r="E15" s="138" t="s">
        <v>304</v>
      </c>
      <c r="F15" s="202"/>
      <c r="G15" s="246"/>
      <c r="H15" s="246"/>
      <c r="I15" s="202"/>
      <c r="J15" s="249"/>
      <c r="K15" s="208"/>
      <c r="L15" s="205"/>
      <c r="M15" s="252"/>
      <c r="N15" s="205">
        <f ca="1">IF(NOT(ISERROR(MATCH(M15,_xlfn.ANCHORARRAY(H26),0))),L28&amp;"Por favor no seleccionar los criterios de impacto",M15)</f>
        <v>0</v>
      </c>
      <c r="O15" s="208"/>
      <c r="P15" s="205"/>
      <c r="Q15" s="211"/>
      <c r="R15" s="122">
        <v>5</v>
      </c>
      <c r="S15" s="123"/>
      <c r="T15" s="124" t="str">
        <f t="shared" si="0"/>
        <v/>
      </c>
      <c r="U15" s="125"/>
      <c r="V15" s="125"/>
      <c r="W15" s="126" t="str">
        <f t="shared" si="1"/>
        <v/>
      </c>
      <c r="X15" s="125"/>
      <c r="Y15" s="125"/>
      <c r="Z15" s="125"/>
      <c r="AA15" s="127" t="str">
        <f t="shared" si="6"/>
        <v/>
      </c>
      <c r="AB15" s="128" t="str">
        <f t="shared" si="2"/>
        <v/>
      </c>
      <c r="AC15" s="129" t="str">
        <f t="shared" si="3"/>
        <v/>
      </c>
      <c r="AD15" s="128" t="str">
        <f t="shared" si="4"/>
        <v/>
      </c>
      <c r="AE15" s="129" t="str">
        <f t="shared" si="7"/>
        <v/>
      </c>
      <c r="AF15" s="130" t="str">
        <f t="shared" si="5"/>
        <v/>
      </c>
      <c r="AG15" s="131"/>
      <c r="AH15" s="132"/>
      <c r="AI15" s="133"/>
      <c r="AJ15" s="134"/>
      <c r="AK15" s="134"/>
      <c r="AL15" s="132"/>
      <c r="AM15" s="133"/>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68.45" customHeight="1" x14ac:dyDescent="0.3">
      <c r="A16" s="244"/>
      <c r="B16" s="203"/>
      <c r="C16" s="203"/>
      <c r="D16" s="203"/>
      <c r="E16" s="139" t="s">
        <v>305</v>
      </c>
      <c r="F16" s="203"/>
      <c r="G16" s="247"/>
      <c r="H16" s="247"/>
      <c r="I16" s="203"/>
      <c r="J16" s="250"/>
      <c r="K16" s="209"/>
      <c r="L16" s="206"/>
      <c r="M16" s="253"/>
      <c r="N16" s="206">
        <f ca="1">IF(NOT(ISERROR(MATCH(M16,_xlfn.ANCHORARRAY(H27),0))),L29&amp;"Por favor no seleccionar los criterios de impacto",M16)</f>
        <v>0</v>
      </c>
      <c r="O16" s="209"/>
      <c r="P16" s="206"/>
      <c r="Q16" s="212"/>
      <c r="R16" s="122">
        <v>6</v>
      </c>
      <c r="S16" s="123"/>
      <c r="T16" s="124" t="str">
        <f t="shared" si="0"/>
        <v/>
      </c>
      <c r="U16" s="125"/>
      <c r="V16" s="125"/>
      <c r="W16" s="126" t="str">
        <f t="shared" si="1"/>
        <v/>
      </c>
      <c r="X16" s="125"/>
      <c r="Y16" s="125"/>
      <c r="Z16" s="125"/>
      <c r="AA16" s="127" t="str">
        <f t="shared" si="6"/>
        <v/>
      </c>
      <c r="AB16" s="128" t="str">
        <f t="shared" si="2"/>
        <v/>
      </c>
      <c r="AC16" s="129" t="str">
        <f t="shared" si="3"/>
        <v/>
      </c>
      <c r="AD16" s="128" t="str">
        <f t="shared" si="4"/>
        <v/>
      </c>
      <c r="AE16" s="129" t="str">
        <f t="shared" si="7"/>
        <v/>
      </c>
      <c r="AF16" s="130" t="str">
        <f t="shared" si="5"/>
        <v/>
      </c>
      <c r="AG16" s="131"/>
      <c r="AH16" s="132"/>
      <c r="AI16" s="133"/>
      <c r="AJ16" s="134"/>
      <c r="AK16" s="134"/>
      <c r="AL16" s="132"/>
      <c r="AM16" s="133"/>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95.25" customHeight="1" x14ac:dyDescent="0.3">
      <c r="A17" s="242">
        <v>2</v>
      </c>
      <c r="B17" s="201" t="s">
        <v>189</v>
      </c>
      <c r="C17" s="201" t="s">
        <v>298</v>
      </c>
      <c r="D17" s="201" t="s">
        <v>116</v>
      </c>
      <c r="E17" s="137" t="s">
        <v>310</v>
      </c>
      <c r="F17" s="201" t="s">
        <v>317</v>
      </c>
      <c r="G17" s="245" t="s">
        <v>192</v>
      </c>
      <c r="H17" s="245" t="s">
        <v>327</v>
      </c>
      <c r="I17" s="201" t="s">
        <v>216</v>
      </c>
      <c r="J17" s="248">
        <v>320</v>
      </c>
      <c r="K17" s="207" t="str">
        <f>IF(J17&lt;=0,"",IF(J17&lt;=2,"Muy Baja",IF(J17&lt;=24,"Baja",IF(J17&lt;=500,"Media",IF(J17&lt;=5000,"Alta","Muy Alta")))))</f>
        <v>Media</v>
      </c>
      <c r="L17" s="204">
        <f>IF(K17="","",IF(K17="Muy Baja",0.2,IF(K17="Baja",0.4,IF(K17="Media",0.6,IF(K17="Alta",0.8,IF(K17="Muy Alta",1,))))))</f>
        <v>0.6</v>
      </c>
      <c r="M17" s="251" t="s">
        <v>137</v>
      </c>
      <c r="N17" s="204" t="str">
        <f ca="1">IF(NOT(ISERROR(MATCH(M17,'Tabla Impacto'!$B$221:$B$223,0))),'Tabla Impacto'!$F$223&amp;"Por favor no seleccionar los criterios de impacto(Afectación Económica o presupuestal y Pérdida Reputacional)",M17)</f>
        <v xml:space="preserve">     El riesgo afecta la imagen de la entidad con algunos usuarios de relevancia frente al logro de los objetivos</v>
      </c>
      <c r="O17" s="207" t="str">
        <f ca="1">IF(OR(N17='Tabla Impacto'!$C$11,N17='Tabla Impacto'!$D$11),"Leve",IF(OR(N17='Tabla Impacto'!$C$12,N17='Tabla Impacto'!$D$12),"Menor",IF(OR(N17='Tabla Impacto'!$C$13,N17='Tabla Impacto'!$D$13),"Moderado",IF(OR(N17='Tabla Impacto'!$C$14,N17='Tabla Impacto'!$D$14),"Mayor",IF(OR(N17='Tabla Impacto'!$C$15,N17='Tabla Impacto'!$D$15),"Catastrófico","")))))</f>
        <v>Moderado</v>
      </c>
      <c r="P17" s="204">
        <f ca="1">IF(O17="","",IF(O17="Leve",0.2,IF(O17="Menor",0.4,IF(O17="Moderado",0.6,IF(O17="Mayor",0.8,IF(O17="Catastrófico",1,))))))</f>
        <v>0.6</v>
      </c>
      <c r="Q17" s="210" t="str">
        <f ca="1">IF(OR(AND(K17="Muy Baja",O17="Leve"),AND(K17="Muy Baja",O17="Menor"),AND(K17="Baja",O17="Leve")),"Bajo",IF(OR(AND(K17="Muy baja",O17="Moderado"),AND(K17="Baja",O17="Menor"),AND(K17="Baja",O17="Moderado"),AND(K17="Media",O17="Leve"),AND(K17="Media",O17="Menor"),AND(K17="Media",O17="Moderado"),AND(K17="Alta",O17="Leve"),AND(K17="Alta",O17="Menor")),"Moderado",IF(OR(AND(K17="Muy Baja",O17="Mayor"),AND(K17="Baja",O17="Mayor"),AND(K17="Media",O17="Mayor"),AND(K17="Alta",O17="Moderado"),AND(K17="Alta",O17="Mayor"),AND(K17="Muy Alta",O17="Leve"),AND(K17="Muy Alta",O17="Menor"),AND(K17="Muy Alta",O17="Moderado"),AND(K17="Muy Alta",O17="Mayor")),"Alto",IF(OR(AND(K17="Muy Baja",O17="Catastrófico"),AND(K17="Baja",O17="Catastrófico"),AND(K17="Media",O17="Catastrófico"),AND(K17="Alta",O17="Catastrófico"),AND(K17="Muy Alta",O17="Catastrófico")),"Extremo",""))))</f>
        <v>Moderado</v>
      </c>
      <c r="R17" s="122">
        <v>1</v>
      </c>
      <c r="S17" s="123" t="s">
        <v>329</v>
      </c>
      <c r="T17" s="124" t="str">
        <f t="shared" si="0"/>
        <v>Impacto</v>
      </c>
      <c r="U17" s="125" t="s">
        <v>15</v>
      </c>
      <c r="V17" s="125" t="s">
        <v>8</v>
      </c>
      <c r="W17" s="126" t="str">
        <f>IF(AND(U17="Preventivo",V17="Automático"),"50%",IF(AND(U17="Preventivo",V17="Manual"),"40%",IF(AND(U17="Detectivo",V17="Automático"),"40%",IF(AND(U17="Detectivo",V17="Manual"),"30%",IF(AND(U17="Correctivo",V17="Automático"),"35%",IF(AND(U17="Correctivo",V17="Manual"),"25%",""))))))</f>
        <v>25%</v>
      </c>
      <c r="X17" s="125" t="s">
        <v>19</v>
      </c>
      <c r="Y17" s="125" t="s">
        <v>21</v>
      </c>
      <c r="Z17" s="125" t="s">
        <v>111</v>
      </c>
      <c r="AA17" s="127">
        <f>IFERROR(IF(T17="Probabilidad",(L17-(+L17*W17)),IF(T17="Impacto",L17,"")),"")</f>
        <v>0.6</v>
      </c>
      <c r="AB17" s="128" t="str">
        <f>IFERROR(IF(AA17="","",IF(AA17&lt;=0.2,"Muy Baja",IF(AA17&lt;=0.4,"Baja",IF(AA17&lt;=0.6,"Media",IF(AA17&lt;=0.8,"Alta","Muy Alta"))))),"")</f>
        <v>Media</v>
      </c>
      <c r="AC17" s="129">
        <f>+AA17</f>
        <v>0.6</v>
      </c>
      <c r="AD17" s="128" t="str">
        <f ca="1">IFERROR(IF(AE17="","",IF(AE17&lt;=0.2,"Leve",IF(AE17&lt;=0.4,"Menor",IF(AE17&lt;=0.6,"Moderado",IF(AE17&lt;=0.8,"Mayor","Catastrófico"))))),"")</f>
        <v>Moderado</v>
      </c>
      <c r="AE17" s="129">
        <f ca="1">IFERROR(IF(T17="Impacto",(P17-(+P17*W17)),IF(T17="Probabilidad",P17,"")),"")</f>
        <v>0.44999999999999996</v>
      </c>
      <c r="AF17" s="130" t="str">
        <f ca="1">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Moderado</v>
      </c>
      <c r="AG17" s="131" t="s">
        <v>30</v>
      </c>
      <c r="AH17" s="132"/>
      <c r="AI17" s="133"/>
      <c r="AJ17" s="134"/>
      <c r="AK17" s="134"/>
      <c r="AL17" s="132"/>
      <c r="AM17" s="133"/>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row>
    <row r="18" spans="1:71" ht="68.45" customHeight="1" x14ac:dyDescent="0.3">
      <c r="A18" s="243"/>
      <c r="B18" s="202"/>
      <c r="C18" s="202"/>
      <c r="D18" s="202"/>
      <c r="E18" s="138" t="s">
        <v>312</v>
      </c>
      <c r="F18" s="202"/>
      <c r="G18" s="246"/>
      <c r="H18" s="246"/>
      <c r="I18" s="202"/>
      <c r="J18" s="249"/>
      <c r="K18" s="208"/>
      <c r="L18" s="205"/>
      <c r="M18" s="252"/>
      <c r="N18" s="205">
        <f ca="1">IF(NOT(ISERROR(MATCH(M18,_xlfn.ANCHORARRAY(H29),0))),L31&amp;"Por favor no seleccionar los criterios de impacto",M18)</f>
        <v>0</v>
      </c>
      <c r="O18" s="208"/>
      <c r="P18" s="205"/>
      <c r="Q18" s="211"/>
      <c r="R18" s="122">
        <v>2</v>
      </c>
      <c r="S18" s="123"/>
      <c r="T18" s="124"/>
      <c r="U18" s="125"/>
      <c r="V18" s="125"/>
      <c r="W18" s="126" t="str">
        <f t="shared" ref="W18:W22" si="8">IF(AND(U18="Preventivo",V18="Automático"),"50%",IF(AND(U18="Preventivo",V18="Manual"),"40%",IF(AND(U18="Detectivo",V18="Automático"),"40%",IF(AND(U18="Detectivo",V18="Manual"),"30%",IF(AND(U18="Correctivo",V18="Automático"),"35%",IF(AND(U18="Correctivo",V18="Manual"),"25%",""))))))</f>
        <v/>
      </c>
      <c r="X18" s="125"/>
      <c r="Y18" s="125"/>
      <c r="Z18" s="125"/>
      <c r="AA18" s="127" t="str">
        <f>IFERROR(IF(AND(T17="Probabilidad",T18="Probabilidad"),(AC17-(+AC17*W18)),IF(T18="Probabilidad",(L17-(+L17*W18)),IF(T18="Impacto",AC17,""))),"")</f>
        <v/>
      </c>
      <c r="AB18" s="128" t="str">
        <f t="shared" si="2"/>
        <v/>
      </c>
      <c r="AC18" s="129" t="str">
        <f t="shared" ref="AC18:AC22" si="9">+AA18</f>
        <v/>
      </c>
      <c r="AD18" s="128" t="str">
        <f t="shared" si="4"/>
        <v/>
      </c>
      <c r="AE18" s="129" t="str">
        <f>IFERROR(IF(AND(T17="Impacto",T18="Impacto"),(AE17-(+AE17*W18)),IF(T18="Impacto",(P17-(+P17*W18)),IF(T18="Probabilidad",AE17,""))),"")</f>
        <v/>
      </c>
      <c r="AF18" s="130" t="str">
        <f t="shared" ref="AF18:AF19" si="10">IFERROR(IF(OR(AND(AB18="Muy Baja",AD18="Leve"),AND(AB18="Muy Baja",AD18="Menor"),AND(AB18="Baja",AD18="Leve")),"Bajo",IF(OR(AND(AB18="Muy baja",AD18="Moderado"),AND(AB18="Baja",AD18="Menor"),AND(AB18="Baja",AD18="Moderado"),AND(AB18="Media",AD18="Leve"),AND(AB18="Media",AD18="Menor"),AND(AB18="Media",AD18="Moderado"),AND(AB18="Alta",AD18="Leve"),AND(AB18="Alta",AD18="Menor")),"Moderado",IF(OR(AND(AB18="Muy Baja",AD18="Mayor"),AND(AB18="Baja",AD18="Mayor"),AND(AB18="Media",AD18="Mayor"),AND(AB18="Alta",AD18="Moderado"),AND(AB18="Alta",AD18="Mayor"),AND(AB18="Muy Alta",AD18="Leve"),AND(AB18="Muy Alta",AD18="Menor"),AND(AB18="Muy Alta",AD18="Moderado"),AND(AB18="Muy Alta",AD18="Mayor")),"Alto",IF(OR(AND(AB18="Muy Baja",AD18="Catastrófico"),AND(AB18="Baja",AD18="Catastrófico"),AND(AB18="Media",AD18="Catastrófico"),AND(AB18="Alta",AD18="Catastrófico"),AND(AB18="Muy Alta",AD18="Catastrófico")),"Extremo","")))),"")</f>
        <v/>
      </c>
      <c r="AG18" s="131"/>
      <c r="AH18" s="132"/>
      <c r="AI18" s="133"/>
      <c r="AJ18" s="134"/>
      <c r="AK18" s="134"/>
      <c r="AL18" s="132"/>
      <c r="AM18" s="133"/>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row>
    <row r="19" spans="1:71" ht="68.45" customHeight="1" x14ac:dyDescent="0.3">
      <c r="A19" s="243"/>
      <c r="B19" s="202"/>
      <c r="C19" s="202"/>
      <c r="D19" s="202"/>
      <c r="E19" s="138" t="s">
        <v>313</v>
      </c>
      <c r="F19" s="202"/>
      <c r="G19" s="246"/>
      <c r="H19" s="246"/>
      <c r="I19" s="202"/>
      <c r="J19" s="249"/>
      <c r="K19" s="208"/>
      <c r="L19" s="205"/>
      <c r="M19" s="252"/>
      <c r="N19" s="205">
        <f ca="1">IF(NOT(ISERROR(MATCH(M19,_xlfn.ANCHORARRAY(H30),0))),L32&amp;"Por favor no seleccionar los criterios de impacto",M19)</f>
        <v>0</v>
      </c>
      <c r="O19" s="208"/>
      <c r="P19" s="205"/>
      <c r="Q19" s="211"/>
      <c r="R19" s="122">
        <v>3</v>
      </c>
      <c r="S19" s="135"/>
      <c r="T19" s="124" t="str">
        <f t="shared" si="0"/>
        <v/>
      </c>
      <c r="U19" s="125"/>
      <c r="V19" s="125"/>
      <c r="W19" s="126" t="str">
        <f t="shared" si="8"/>
        <v/>
      </c>
      <c r="X19" s="125"/>
      <c r="Y19" s="125"/>
      <c r="Z19" s="125"/>
      <c r="AA19" s="127" t="str">
        <f>IFERROR(IF(AND(T18="Probabilidad",T19="Probabilidad"),(AC18-(+AC18*W19)),IF(AND(T18="Impacto",T19="Probabilidad"),(AC17-(+AC17*W19)),IF(T19="Impacto",AC18,""))),"")</f>
        <v/>
      </c>
      <c r="AB19" s="128" t="str">
        <f t="shared" si="2"/>
        <v/>
      </c>
      <c r="AC19" s="129" t="str">
        <f t="shared" si="9"/>
        <v/>
      </c>
      <c r="AD19" s="128" t="str">
        <f t="shared" si="4"/>
        <v/>
      </c>
      <c r="AE19" s="129" t="str">
        <f>IFERROR(IF(AND(T18="Impacto",T19="Impacto"),(AE18-(+AE18*W19)),IF(AND(T18="Probabilidad",T19="Impacto"),(AE17-(+AE17*W19)),IF(T19="Probabilidad",AE18,""))),"")</f>
        <v/>
      </c>
      <c r="AF19" s="130" t="str">
        <f t="shared" si="10"/>
        <v/>
      </c>
      <c r="AG19" s="131"/>
      <c r="AH19" s="132"/>
      <c r="AI19" s="133"/>
      <c r="AJ19" s="134"/>
      <c r="AK19" s="134"/>
      <c r="AL19" s="132"/>
      <c r="AM19" s="133"/>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1" ht="68.45" customHeight="1" x14ac:dyDescent="0.3">
      <c r="A20" s="243"/>
      <c r="B20" s="202"/>
      <c r="C20" s="202"/>
      <c r="D20" s="202"/>
      <c r="E20" s="138" t="s">
        <v>314</v>
      </c>
      <c r="F20" s="202"/>
      <c r="G20" s="246"/>
      <c r="H20" s="246"/>
      <c r="I20" s="202"/>
      <c r="J20" s="249"/>
      <c r="K20" s="208"/>
      <c r="L20" s="205"/>
      <c r="M20" s="252"/>
      <c r="N20" s="205">
        <f ca="1">IF(NOT(ISERROR(MATCH(M20,_xlfn.ANCHORARRAY(H31),0))),L33&amp;"Por favor no seleccionar los criterios de impacto",M20)</f>
        <v>0</v>
      </c>
      <c r="O20" s="208"/>
      <c r="P20" s="205"/>
      <c r="Q20" s="211"/>
      <c r="R20" s="122">
        <v>4</v>
      </c>
      <c r="S20" s="123"/>
      <c r="T20" s="124" t="str">
        <f t="shared" si="0"/>
        <v/>
      </c>
      <c r="U20" s="125"/>
      <c r="V20" s="125"/>
      <c r="W20" s="126" t="str">
        <f t="shared" si="8"/>
        <v/>
      </c>
      <c r="X20" s="125"/>
      <c r="Y20" s="125"/>
      <c r="Z20" s="125"/>
      <c r="AA20" s="127" t="str">
        <f>IFERROR(IF(AND(T19="Probabilidad",T20="Probabilidad"),(AC19-(+AC19*W20)),IF(AND(T19="Impacto",T20="Probabilidad"),(AC18-(+AC18*W20)),IF(T20="Impacto",AC19,""))),"")</f>
        <v/>
      </c>
      <c r="AB20" s="128" t="str">
        <f t="shared" si="2"/>
        <v/>
      </c>
      <c r="AC20" s="129" t="str">
        <f t="shared" si="9"/>
        <v/>
      </c>
      <c r="AD20" s="128" t="str">
        <f t="shared" si="4"/>
        <v/>
      </c>
      <c r="AE20" s="129" t="str">
        <f>IFERROR(IF(AND(T19="Impacto",T20="Impacto"),(AE19-(+AE19*W20)),IF(AND(T19="Probabilidad",T20="Impacto"),(AE18-(+AE18*W20)),IF(T20="Probabilidad",AE19,""))),"")</f>
        <v/>
      </c>
      <c r="AF20" s="130" t="str">
        <f>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31"/>
      <c r="AH20" s="132"/>
      <c r="AI20" s="133"/>
      <c r="AJ20" s="134"/>
      <c r="AK20" s="134"/>
      <c r="AL20" s="132"/>
      <c r="AM20" s="133"/>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71" ht="68.45" customHeight="1" x14ac:dyDescent="0.3">
      <c r="A21" s="243"/>
      <c r="B21" s="202"/>
      <c r="C21" s="202"/>
      <c r="D21" s="202"/>
      <c r="E21" s="138"/>
      <c r="F21" s="202"/>
      <c r="G21" s="246"/>
      <c r="H21" s="246"/>
      <c r="I21" s="202"/>
      <c r="J21" s="249"/>
      <c r="K21" s="208"/>
      <c r="L21" s="205"/>
      <c r="M21" s="252"/>
      <c r="N21" s="205">
        <f ca="1">IF(NOT(ISERROR(MATCH(M21,_xlfn.ANCHORARRAY(H32),0))),L34&amp;"Por favor no seleccionar los criterios de impacto",M21)</f>
        <v>0</v>
      </c>
      <c r="O21" s="208"/>
      <c r="P21" s="205"/>
      <c r="Q21" s="211"/>
      <c r="R21" s="122">
        <v>5</v>
      </c>
      <c r="S21" s="123"/>
      <c r="T21" s="124" t="str">
        <f t="shared" si="0"/>
        <v/>
      </c>
      <c r="U21" s="125"/>
      <c r="V21" s="125"/>
      <c r="W21" s="126" t="str">
        <f t="shared" si="8"/>
        <v/>
      </c>
      <c r="X21" s="125"/>
      <c r="Y21" s="125"/>
      <c r="Z21" s="125"/>
      <c r="AA21" s="127" t="str">
        <f t="shared" ref="AA21:AA22" si="11">IFERROR(IF(AND(T20="Probabilidad",T21="Probabilidad"),(AC20-(+AC20*W21)),IF(AND(T20="Impacto",T21="Probabilidad"),(AC19-(+AC19*W21)),IF(T21="Impacto",AC20,""))),"")</f>
        <v/>
      </c>
      <c r="AB21" s="128" t="str">
        <f t="shared" si="2"/>
        <v/>
      </c>
      <c r="AC21" s="129" t="str">
        <f t="shared" si="9"/>
        <v/>
      </c>
      <c r="AD21" s="128" t="str">
        <f t="shared" si="4"/>
        <v/>
      </c>
      <c r="AE21" s="129" t="str">
        <f t="shared" ref="AE21:AE22" si="12">IFERROR(IF(AND(T20="Impacto",T21="Impacto"),(AE20-(+AE20*W21)),IF(AND(T20="Probabilidad",T21="Impacto"),(AE19-(+AE19*W21)),IF(T21="Probabilidad",AE20,""))),"")</f>
        <v/>
      </c>
      <c r="AF21" s="130" t="str">
        <f t="shared" ref="AF21:AF22" si="13">IFERROR(IF(OR(AND(AB21="Muy Baja",AD21="Leve"),AND(AB21="Muy Baja",AD21="Menor"),AND(AB21="Baja",AD21="Leve")),"Bajo",IF(OR(AND(AB21="Muy baja",AD21="Moderado"),AND(AB21="Baja",AD21="Menor"),AND(AB21="Baja",AD21="Moderado"),AND(AB21="Media",AD21="Leve"),AND(AB21="Media",AD21="Menor"),AND(AB21="Media",AD21="Moderado"),AND(AB21="Alta",AD21="Leve"),AND(AB21="Alta",AD21="Menor")),"Moderado",IF(OR(AND(AB21="Muy Baja",AD21="Mayor"),AND(AB21="Baja",AD21="Mayor"),AND(AB21="Media",AD21="Mayor"),AND(AB21="Alta",AD21="Moderado"),AND(AB21="Alta",AD21="Mayor"),AND(AB21="Muy Alta",AD21="Leve"),AND(AB21="Muy Alta",AD21="Menor"),AND(AB21="Muy Alta",AD21="Moderado"),AND(AB21="Muy Alta",AD21="Mayor")),"Alto",IF(OR(AND(AB21="Muy Baja",AD21="Catastrófico"),AND(AB21="Baja",AD21="Catastrófico"),AND(AB21="Media",AD21="Catastrófico"),AND(AB21="Alta",AD21="Catastrófico"),AND(AB21="Muy Alta",AD21="Catastrófico")),"Extremo","")))),"")</f>
        <v/>
      </c>
      <c r="AG21" s="131"/>
      <c r="AH21" s="132"/>
      <c r="AI21" s="133"/>
      <c r="AJ21" s="134"/>
      <c r="AK21" s="134"/>
      <c r="AL21" s="132"/>
      <c r="AM21" s="133"/>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row>
    <row r="22" spans="1:71" ht="68.45" customHeight="1" x14ac:dyDescent="0.3">
      <c r="A22" s="244"/>
      <c r="B22" s="203"/>
      <c r="C22" s="203"/>
      <c r="D22" s="203"/>
      <c r="E22" s="139"/>
      <c r="F22" s="203"/>
      <c r="G22" s="247"/>
      <c r="H22" s="247"/>
      <c r="I22" s="203"/>
      <c r="J22" s="250"/>
      <c r="K22" s="209"/>
      <c r="L22" s="206"/>
      <c r="M22" s="253"/>
      <c r="N22" s="206">
        <f ca="1">IF(NOT(ISERROR(MATCH(M22,_xlfn.ANCHORARRAY(H33),0))),#REF!&amp;"Por favor no seleccionar los criterios de impacto",M22)</f>
        <v>0</v>
      </c>
      <c r="O22" s="209"/>
      <c r="P22" s="206"/>
      <c r="Q22" s="212"/>
      <c r="R22" s="122">
        <v>6</v>
      </c>
      <c r="S22" s="123"/>
      <c r="T22" s="124" t="str">
        <f t="shared" si="0"/>
        <v/>
      </c>
      <c r="U22" s="125"/>
      <c r="V22" s="125"/>
      <c r="W22" s="126" t="str">
        <f t="shared" si="8"/>
        <v/>
      </c>
      <c r="X22" s="125"/>
      <c r="Y22" s="125"/>
      <c r="Z22" s="125"/>
      <c r="AA22" s="127" t="str">
        <f t="shared" si="11"/>
        <v/>
      </c>
      <c r="AB22" s="128" t="str">
        <f t="shared" si="2"/>
        <v/>
      </c>
      <c r="AC22" s="129" t="str">
        <f t="shared" si="9"/>
        <v/>
      </c>
      <c r="AD22" s="128" t="str">
        <f t="shared" si="4"/>
        <v/>
      </c>
      <c r="AE22" s="129" t="str">
        <f t="shared" si="12"/>
        <v/>
      </c>
      <c r="AF22" s="130" t="str">
        <f t="shared" si="13"/>
        <v/>
      </c>
      <c r="AG22" s="131"/>
      <c r="AH22" s="132"/>
      <c r="AI22" s="133"/>
      <c r="AJ22" s="134"/>
      <c r="AK22" s="134"/>
      <c r="AL22" s="132"/>
      <c r="AM22" s="133"/>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row>
    <row r="23" spans="1:71" ht="68.45" customHeight="1" x14ac:dyDescent="0.3">
      <c r="A23" s="242">
        <v>3</v>
      </c>
      <c r="B23" s="201" t="s">
        <v>189</v>
      </c>
      <c r="C23" s="201" t="s">
        <v>298</v>
      </c>
      <c r="D23" s="201" t="s">
        <v>116</v>
      </c>
      <c r="E23" s="137" t="s">
        <v>311</v>
      </c>
      <c r="F23" s="201" t="s">
        <v>316</v>
      </c>
      <c r="G23" s="245" t="s">
        <v>193</v>
      </c>
      <c r="H23" s="245" t="s">
        <v>318</v>
      </c>
      <c r="I23" s="201" t="s">
        <v>211</v>
      </c>
      <c r="J23" s="248">
        <v>320</v>
      </c>
      <c r="K23" s="207" t="str">
        <f>IF(J23&lt;=0,"",IF(J23&lt;=2,"Muy Baja",IF(J23&lt;=24,"Baja",IF(J23&lt;=500,"Media",IF(J23&lt;=5000,"Alta","Muy Alta")))))</f>
        <v>Media</v>
      </c>
      <c r="L23" s="204">
        <f>IF(K23="","",IF(K23="Muy Baja",0.2,IF(K23="Baja",0.4,IF(K23="Media",0.6,IF(K23="Alta",0.8,IF(K23="Muy Alta",1,))))))</f>
        <v>0.6</v>
      </c>
      <c r="M23" s="251" t="s">
        <v>137</v>
      </c>
      <c r="N23" s="204" t="str">
        <f ca="1">IF(NOT(ISERROR(MATCH(M23,'Tabla Impacto'!$B$221:$B$223,0))),'Tabla Impacto'!$F$223&amp;"Por favor no seleccionar los criterios de impacto(Afectación Económica o presupuestal y Pérdida Reputacional)",M23)</f>
        <v xml:space="preserve">     El riesgo afecta la imagen de la entidad con algunos usuarios de relevancia frente al logro de los objetivos</v>
      </c>
      <c r="O23" s="207" t="str">
        <f ca="1">IF(OR(N23='Tabla Impacto'!$C$11,N23='Tabla Impacto'!$D$11),"Leve",IF(OR(N23='Tabla Impacto'!$C$12,N23='Tabla Impacto'!$D$12),"Menor",IF(OR(N23='Tabla Impacto'!$C$13,N23='Tabla Impacto'!$D$13),"Moderado",IF(OR(N23='Tabla Impacto'!$C$14,N23='Tabla Impacto'!$D$14),"Mayor",IF(OR(N23='Tabla Impacto'!$C$15,N23='Tabla Impacto'!$D$15),"Catastrófico","")))))</f>
        <v>Moderado</v>
      </c>
      <c r="P23" s="204">
        <f ca="1">IF(O23="","",IF(O23="Leve",0.2,IF(O23="Menor",0.4,IF(O23="Moderado",0.6,IF(O23="Mayor",0.8,IF(O23="Catastrófico",1,))))))</f>
        <v>0.6</v>
      </c>
      <c r="Q23" s="210" t="str">
        <f ca="1">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Moderado</v>
      </c>
      <c r="R23" s="122">
        <v>1</v>
      </c>
      <c r="S23" s="123" t="s">
        <v>328</v>
      </c>
      <c r="T23" s="124" t="str">
        <f t="shared" si="0"/>
        <v>Probabilidad</v>
      </c>
      <c r="U23" s="125" t="s">
        <v>13</v>
      </c>
      <c r="V23" s="125" t="s">
        <v>8</v>
      </c>
      <c r="W23" s="126" t="str">
        <f>IF(AND(U23="Preventivo",V23="Automático"),"50%",IF(AND(U23="Preventivo",V23="Manual"),"40%",IF(AND(U23="Detectivo",V23="Automático"),"40%",IF(AND(U23="Detectivo",V23="Manual"),"30%",IF(AND(U23="Correctivo",V23="Automático"),"35%",IF(AND(U23="Correctivo",V23="Manual"),"25%",""))))))</f>
        <v>40%</v>
      </c>
      <c r="X23" s="125"/>
      <c r="Y23" s="125"/>
      <c r="Z23" s="125"/>
      <c r="AA23" s="127">
        <f>IFERROR(IF(T23="Probabilidad",(L23-(+L23*W23)),IF(T23="Impacto",L23,"")),"")</f>
        <v>0.36</v>
      </c>
      <c r="AB23" s="128" t="str">
        <f>IFERROR(IF(AA23="","",IF(AA23&lt;=0.2,"Muy Baja",IF(AA23&lt;=0.4,"Baja",IF(AA23&lt;=0.6,"Media",IF(AA23&lt;=0.8,"Alta","Muy Alta"))))),"")</f>
        <v>Baja</v>
      </c>
      <c r="AC23" s="129">
        <f>+AA23</f>
        <v>0.36</v>
      </c>
      <c r="AD23" s="128" t="str">
        <f ca="1">IFERROR(IF(AE23="","",IF(AE23&lt;=0.2,"Leve",IF(AE23&lt;=0.4,"Menor",IF(AE23&lt;=0.6,"Moderado",IF(AE23&lt;=0.8,"Mayor","Catastrófico"))))),"")</f>
        <v>Moderado</v>
      </c>
      <c r="AE23" s="129">
        <f ca="1">IFERROR(IF(T23="Impacto",(P23-(+P23*W23)),IF(T23="Probabilidad",P23,"")),"")</f>
        <v>0.6</v>
      </c>
      <c r="AF23" s="130" t="str">
        <f ca="1">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Moderado</v>
      </c>
      <c r="AG23" s="131"/>
      <c r="AH23" s="132"/>
      <c r="AI23" s="133"/>
      <c r="AJ23" s="134"/>
      <c r="AK23" s="134"/>
      <c r="AL23" s="132"/>
      <c r="AM23" s="133"/>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row>
    <row r="24" spans="1:71" ht="68.45" customHeight="1" x14ac:dyDescent="0.3">
      <c r="A24" s="243"/>
      <c r="B24" s="202"/>
      <c r="C24" s="202"/>
      <c r="D24" s="202"/>
      <c r="E24" s="138" t="s">
        <v>315</v>
      </c>
      <c r="F24" s="202"/>
      <c r="G24" s="246"/>
      <c r="H24" s="246"/>
      <c r="I24" s="202"/>
      <c r="J24" s="249"/>
      <c r="K24" s="208"/>
      <c r="L24" s="205"/>
      <c r="M24" s="252"/>
      <c r="N24" s="205">
        <f ca="1">IF(NOT(ISERROR(MATCH(M24,_xlfn.ANCHORARRAY(#REF!),0))),#REF!&amp;"Por favor no seleccionar los criterios de impacto",M24)</f>
        <v>0</v>
      </c>
      <c r="O24" s="208"/>
      <c r="P24" s="205"/>
      <c r="Q24" s="211"/>
      <c r="R24" s="122">
        <v>2</v>
      </c>
      <c r="S24" s="123"/>
      <c r="T24" s="124" t="str">
        <f t="shared" si="0"/>
        <v/>
      </c>
      <c r="U24" s="125"/>
      <c r="V24" s="125"/>
      <c r="W24" s="126" t="str">
        <f t="shared" ref="W24:W28" si="14">IF(AND(U24="Preventivo",V24="Automático"),"50%",IF(AND(U24="Preventivo",V24="Manual"),"40%",IF(AND(U24="Detectivo",V24="Automático"),"40%",IF(AND(U24="Detectivo",V24="Manual"),"30%",IF(AND(U24="Correctivo",V24="Automático"),"35%",IF(AND(U24="Correctivo",V24="Manual"),"25%",""))))))</f>
        <v/>
      </c>
      <c r="X24" s="125"/>
      <c r="Y24" s="125"/>
      <c r="Z24" s="125"/>
      <c r="AA24" s="149" t="str">
        <f>IFERROR(IF(AND(T23="Probabilidad",T24="Probabilidad"),(AC23-(+AC23*W24)),IF(T24="Probabilidad",(L23-(+L23*W24)),IF(T24="Impacto",AC23,""))),"")</f>
        <v/>
      </c>
      <c r="AB24" s="128" t="str">
        <f t="shared" si="2"/>
        <v/>
      </c>
      <c r="AC24" s="129" t="str">
        <f t="shared" ref="AC24:AC28" si="15">+AA24</f>
        <v/>
      </c>
      <c r="AD24" s="128" t="str">
        <f t="shared" si="4"/>
        <v/>
      </c>
      <c r="AE24" s="129" t="str">
        <f>IFERROR(IF(AND(T23="Impacto",T24="Impacto"),(AE23-(+AE23*W24)),IF(T24="Impacto",(P23-(+P23*W24)),IF(T24="Probabilidad",AE23,""))),"")</f>
        <v/>
      </c>
      <c r="AF24" s="130" t="str">
        <f t="shared" ref="AF24:AF25" si="16">IFERROR(IF(OR(AND(AB24="Muy Baja",AD24="Leve"),AND(AB24="Muy Baja",AD24="Menor"),AND(AB24="Baja",AD24="Leve")),"Bajo",IF(OR(AND(AB24="Muy baja",AD24="Moderado"),AND(AB24="Baja",AD24="Menor"),AND(AB24="Baja",AD24="Moderado"),AND(AB24="Media",AD24="Leve"),AND(AB24="Media",AD24="Menor"),AND(AB24="Media",AD24="Moderado"),AND(AB24="Alta",AD24="Leve"),AND(AB24="Alta",AD24="Menor")),"Moderado",IF(OR(AND(AB24="Muy Baja",AD24="Mayor"),AND(AB24="Baja",AD24="Mayor"),AND(AB24="Media",AD24="Mayor"),AND(AB24="Alta",AD24="Moderado"),AND(AB24="Alta",AD24="Mayor"),AND(AB24="Muy Alta",AD24="Leve"),AND(AB24="Muy Alta",AD24="Menor"),AND(AB24="Muy Alta",AD24="Moderado"),AND(AB24="Muy Alta",AD24="Mayor")),"Alto",IF(OR(AND(AB24="Muy Baja",AD24="Catastrófico"),AND(AB24="Baja",AD24="Catastrófico"),AND(AB24="Media",AD24="Catastrófico"),AND(AB24="Alta",AD24="Catastrófico"),AND(AB24="Muy Alta",AD24="Catastrófico")),"Extremo","")))),"")</f>
        <v/>
      </c>
      <c r="AG24" s="131"/>
      <c r="AH24" s="132"/>
      <c r="AI24" s="133"/>
      <c r="AJ24" s="134"/>
      <c r="AK24" s="134"/>
      <c r="AL24" s="132"/>
      <c r="AM24" s="133"/>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row>
    <row r="25" spans="1:71" ht="68.45" customHeight="1" x14ac:dyDescent="0.3">
      <c r="A25" s="243"/>
      <c r="B25" s="202"/>
      <c r="C25" s="202"/>
      <c r="D25" s="202"/>
      <c r="E25" s="138"/>
      <c r="F25" s="202"/>
      <c r="G25" s="246"/>
      <c r="H25" s="246"/>
      <c r="I25" s="202"/>
      <c r="J25" s="249"/>
      <c r="K25" s="208"/>
      <c r="L25" s="205"/>
      <c r="M25" s="252"/>
      <c r="N25" s="205">
        <f ca="1">IF(NOT(ISERROR(MATCH(M25,_xlfn.ANCHORARRAY(#REF!),0))),#REF!&amp;"Por favor no seleccionar los criterios de impacto",M25)</f>
        <v>0</v>
      </c>
      <c r="O25" s="208"/>
      <c r="P25" s="205"/>
      <c r="Q25" s="211"/>
      <c r="R25" s="122">
        <v>3</v>
      </c>
      <c r="S25" s="135"/>
      <c r="T25" s="124" t="str">
        <f t="shared" si="0"/>
        <v/>
      </c>
      <c r="U25" s="125"/>
      <c r="V25" s="125"/>
      <c r="W25" s="126" t="str">
        <f t="shared" si="14"/>
        <v/>
      </c>
      <c r="X25" s="125"/>
      <c r="Y25" s="125"/>
      <c r="Z25" s="125"/>
      <c r="AA25" s="127" t="str">
        <f>IFERROR(IF(AND(T24="Probabilidad",T25="Probabilidad"),(AC24-(+AC24*W25)),IF(AND(T24="Impacto",T25="Probabilidad"),(AC23-(+AC23*W25)),IF(T25="Impacto",AC24,""))),"")</f>
        <v/>
      </c>
      <c r="AB25" s="128" t="str">
        <f t="shared" si="2"/>
        <v/>
      </c>
      <c r="AC25" s="129" t="str">
        <f t="shared" si="15"/>
        <v/>
      </c>
      <c r="AD25" s="128" t="str">
        <f t="shared" si="4"/>
        <v/>
      </c>
      <c r="AE25" s="129" t="str">
        <f>IFERROR(IF(AND(T24="Impacto",T25="Impacto"),(AE24-(+AE24*W25)),IF(AND(T24="Probabilidad",T25="Impacto"),(AE23-(+AE23*W25)),IF(T25="Probabilidad",AE24,""))),"")</f>
        <v/>
      </c>
      <c r="AF25" s="130" t="str">
        <f t="shared" si="16"/>
        <v/>
      </c>
      <c r="AG25" s="131"/>
      <c r="AH25" s="132"/>
      <c r="AI25" s="133"/>
      <c r="AJ25" s="134"/>
      <c r="AK25" s="134"/>
      <c r="AL25" s="132"/>
      <c r="AM25" s="133"/>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row>
    <row r="26" spans="1:71" ht="68.45" customHeight="1" x14ac:dyDescent="0.3">
      <c r="A26" s="243"/>
      <c r="B26" s="202"/>
      <c r="C26" s="202"/>
      <c r="D26" s="202"/>
      <c r="E26" s="138"/>
      <c r="F26" s="202"/>
      <c r="G26" s="246"/>
      <c r="H26" s="246"/>
      <c r="I26" s="202"/>
      <c r="J26" s="249"/>
      <c r="K26" s="208"/>
      <c r="L26" s="205"/>
      <c r="M26" s="252"/>
      <c r="N26" s="205">
        <f ca="1">IF(NOT(ISERROR(MATCH(M26,_xlfn.ANCHORARRAY(#REF!),0))),#REF!&amp;"Por favor no seleccionar los criterios de impacto",M26)</f>
        <v>0</v>
      </c>
      <c r="O26" s="208"/>
      <c r="P26" s="205"/>
      <c r="Q26" s="211"/>
      <c r="R26" s="122">
        <v>4</v>
      </c>
      <c r="S26" s="123"/>
      <c r="T26" s="124" t="str">
        <f t="shared" si="0"/>
        <v/>
      </c>
      <c r="U26" s="125"/>
      <c r="V26" s="125"/>
      <c r="W26" s="126" t="str">
        <f t="shared" si="14"/>
        <v/>
      </c>
      <c r="X26" s="125"/>
      <c r="Y26" s="125"/>
      <c r="Z26" s="125"/>
      <c r="AA26" s="127" t="str">
        <f t="shared" ref="AA26:AA28" si="17">IFERROR(IF(AND(T25="Probabilidad",T26="Probabilidad"),(AC25-(+AC25*W26)),IF(AND(T25="Impacto",T26="Probabilidad"),(AC24-(+AC24*W26)),IF(T26="Impacto",AC25,""))),"")</f>
        <v/>
      </c>
      <c r="AB26" s="128" t="str">
        <f t="shared" si="2"/>
        <v/>
      </c>
      <c r="AC26" s="129" t="str">
        <f t="shared" si="15"/>
        <v/>
      </c>
      <c r="AD26" s="128" t="str">
        <f t="shared" si="4"/>
        <v/>
      </c>
      <c r="AE26" s="129" t="str">
        <f t="shared" ref="AE26:AE28" si="18">IFERROR(IF(AND(T25="Impacto",T26="Impacto"),(AE25-(+AE25*W26)),IF(AND(T25="Probabilidad",T26="Impacto"),(AE24-(+AE24*W26)),IF(T26="Probabilidad",AE25,""))),"")</f>
        <v/>
      </c>
      <c r="AF26" s="130" t="str">
        <f>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31"/>
      <c r="AH26" s="132"/>
      <c r="AI26" s="133"/>
      <c r="AJ26" s="134"/>
      <c r="AK26" s="134"/>
      <c r="AL26" s="132"/>
      <c r="AM26" s="133"/>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row>
    <row r="27" spans="1:71" ht="68.45" customHeight="1" x14ac:dyDescent="0.3">
      <c r="A27" s="243"/>
      <c r="B27" s="202"/>
      <c r="C27" s="202"/>
      <c r="D27" s="202"/>
      <c r="E27" s="138"/>
      <c r="F27" s="202"/>
      <c r="G27" s="246"/>
      <c r="H27" s="246"/>
      <c r="I27" s="202"/>
      <c r="J27" s="249"/>
      <c r="K27" s="208"/>
      <c r="L27" s="205"/>
      <c r="M27" s="252"/>
      <c r="N27" s="205">
        <f ca="1">IF(NOT(ISERROR(MATCH(M27,_xlfn.ANCHORARRAY(#REF!),0))),#REF!&amp;"Por favor no seleccionar los criterios de impacto",M27)</f>
        <v>0</v>
      </c>
      <c r="O27" s="208"/>
      <c r="P27" s="205"/>
      <c r="Q27" s="211"/>
      <c r="R27" s="122">
        <v>5</v>
      </c>
      <c r="S27" s="123"/>
      <c r="T27" s="124" t="str">
        <f t="shared" si="0"/>
        <v/>
      </c>
      <c r="U27" s="125"/>
      <c r="V27" s="125"/>
      <c r="W27" s="126" t="str">
        <f t="shared" si="14"/>
        <v/>
      </c>
      <c r="X27" s="125"/>
      <c r="Y27" s="125"/>
      <c r="Z27" s="125"/>
      <c r="AA27" s="127" t="str">
        <f t="shared" si="17"/>
        <v/>
      </c>
      <c r="AB27" s="128" t="str">
        <f t="shared" si="2"/>
        <v/>
      </c>
      <c r="AC27" s="129" t="str">
        <f t="shared" si="15"/>
        <v/>
      </c>
      <c r="AD27" s="128" t="str">
        <f t="shared" si="4"/>
        <v/>
      </c>
      <c r="AE27" s="129" t="str">
        <f t="shared" si="18"/>
        <v/>
      </c>
      <c r="AF27" s="130" t="str">
        <f t="shared" ref="AF27:AF28" si="19">IFERROR(IF(OR(AND(AB27="Muy Baja",AD27="Leve"),AND(AB27="Muy Baja",AD27="Menor"),AND(AB27="Baja",AD27="Leve")),"Bajo",IF(OR(AND(AB27="Muy baja",AD27="Moderado"),AND(AB27="Baja",AD27="Menor"),AND(AB27="Baja",AD27="Moderado"),AND(AB27="Media",AD27="Leve"),AND(AB27="Media",AD27="Menor"),AND(AB27="Media",AD27="Moderado"),AND(AB27="Alta",AD27="Leve"),AND(AB27="Alta",AD27="Menor")),"Moderado",IF(OR(AND(AB27="Muy Baja",AD27="Mayor"),AND(AB27="Baja",AD27="Mayor"),AND(AB27="Media",AD27="Mayor"),AND(AB27="Alta",AD27="Moderado"),AND(AB27="Alta",AD27="Mayor"),AND(AB27="Muy Alta",AD27="Leve"),AND(AB27="Muy Alta",AD27="Menor"),AND(AB27="Muy Alta",AD27="Moderado"),AND(AB27="Muy Alta",AD27="Mayor")),"Alto",IF(OR(AND(AB27="Muy Baja",AD27="Catastrófico"),AND(AB27="Baja",AD27="Catastrófico"),AND(AB27="Media",AD27="Catastrófico"),AND(AB27="Alta",AD27="Catastrófico"),AND(AB27="Muy Alta",AD27="Catastrófico")),"Extremo","")))),"")</f>
        <v/>
      </c>
      <c r="AG27" s="131"/>
      <c r="AH27" s="132"/>
      <c r="AI27" s="133"/>
      <c r="AJ27" s="134"/>
      <c r="AK27" s="134"/>
      <c r="AL27" s="132"/>
      <c r="AM27" s="133"/>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row>
    <row r="28" spans="1:71" ht="68.45" customHeight="1" x14ac:dyDescent="0.3">
      <c r="A28" s="244"/>
      <c r="B28" s="203"/>
      <c r="C28" s="203"/>
      <c r="D28" s="203"/>
      <c r="E28" s="139"/>
      <c r="F28" s="203"/>
      <c r="G28" s="247"/>
      <c r="H28" s="247"/>
      <c r="I28" s="203"/>
      <c r="J28" s="250"/>
      <c r="K28" s="209"/>
      <c r="L28" s="206"/>
      <c r="M28" s="253"/>
      <c r="N28" s="206">
        <f ca="1">IF(NOT(ISERROR(MATCH(M28,_xlfn.ANCHORARRAY(#REF!),0))),L35&amp;"Por favor no seleccionar los criterios de impacto",M28)</f>
        <v>0</v>
      </c>
      <c r="O28" s="209"/>
      <c r="P28" s="206"/>
      <c r="Q28" s="212"/>
      <c r="R28" s="122">
        <v>6</v>
      </c>
      <c r="S28" s="123"/>
      <c r="T28" s="124" t="str">
        <f t="shared" si="0"/>
        <v/>
      </c>
      <c r="U28" s="125"/>
      <c r="V28" s="125"/>
      <c r="W28" s="126" t="str">
        <f t="shared" si="14"/>
        <v/>
      </c>
      <c r="X28" s="125"/>
      <c r="Y28" s="125"/>
      <c r="Z28" s="125"/>
      <c r="AA28" s="127" t="str">
        <f t="shared" si="17"/>
        <v/>
      </c>
      <c r="AB28" s="128" t="str">
        <f t="shared" si="2"/>
        <v/>
      </c>
      <c r="AC28" s="129" t="str">
        <f t="shared" si="15"/>
        <v/>
      </c>
      <c r="AD28" s="128" t="str">
        <f t="shared" si="4"/>
        <v/>
      </c>
      <c r="AE28" s="129" t="str">
        <f t="shared" si="18"/>
        <v/>
      </c>
      <c r="AF28" s="130" t="str">
        <f t="shared" si="19"/>
        <v/>
      </c>
      <c r="AG28" s="131"/>
      <c r="AH28" s="132"/>
      <c r="AI28" s="133"/>
      <c r="AJ28" s="134"/>
      <c r="AK28" s="134"/>
      <c r="AL28" s="132"/>
      <c r="AM28" s="133"/>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1" ht="68.45" customHeight="1" x14ac:dyDescent="0.3">
      <c r="A29" s="242">
        <v>4</v>
      </c>
      <c r="B29" s="201" t="s">
        <v>190</v>
      </c>
      <c r="C29" s="201" t="s">
        <v>299</v>
      </c>
      <c r="D29" s="201" t="s">
        <v>116</v>
      </c>
      <c r="E29" s="137" t="s">
        <v>319</v>
      </c>
      <c r="F29" s="201" t="s">
        <v>333</v>
      </c>
      <c r="G29" s="245" t="s">
        <v>194</v>
      </c>
      <c r="H29" s="245" t="s">
        <v>324</v>
      </c>
      <c r="I29" s="201" t="s">
        <v>216</v>
      </c>
      <c r="J29" s="248">
        <v>350</v>
      </c>
      <c r="K29" s="207" t="str">
        <f>IF(J29&lt;=0,"",IF(J29&lt;=2,"Muy Baja",IF(J29&lt;=24,"Baja",IF(J29&lt;=500,"Media",IF(J29&lt;=5000,"Alta","Muy Alta")))))</f>
        <v>Media</v>
      </c>
      <c r="L29" s="204">
        <f>IF(K29="","",IF(K29="Muy Baja",0.2,IF(K29="Baja",0.4,IF(K29="Media",0.6,IF(K29="Alta",0.8,IF(K29="Muy Alta",1,))))))</f>
        <v>0.6</v>
      </c>
      <c r="M29" s="251" t="s">
        <v>137</v>
      </c>
      <c r="N29" s="204" t="str">
        <f ca="1">IF(NOT(ISERROR(MATCH(M29,'Tabla Impacto'!$B$221:$B$223,0))),'Tabla Impacto'!$F$223&amp;"Por favor no seleccionar los criterios de impacto(Afectación Económica o presupuestal y Pérdida Reputacional)",M29)</f>
        <v xml:space="preserve">     El riesgo afecta la imagen de la entidad con algunos usuarios de relevancia frente al logro de los objetivos</v>
      </c>
      <c r="O29" s="207" t="str">
        <f ca="1">IF(OR(N29='Tabla Impacto'!$C$11,N29='Tabla Impacto'!$D$11),"Leve",IF(OR(N29='Tabla Impacto'!$C$12,N29='Tabla Impacto'!$D$12),"Menor",IF(OR(N29='Tabla Impacto'!$C$13,N29='Tabla Impacto'!$D$13),"Moderado",IF(OR(N29='Tabla Impacto'!$C$14,N29='Tabla Impacto'!$D$14),"Mayor",IF(OR(N29='Tabla Impacto'!$C$15,N29='Tabla Impacto'!$D$15),"Catastrófico","")))))</f>
        <v>Moderado</v>
      </c>
      <c r="P29" s="204">
        <f ca="1">IF(O29="","",IF(O29="Leve",0.2,IF(O29="Menor",0.4,IF(O29="Moderado",0.6,IF(O29="Mayor",0.8,IF(O29="Catastrófico",1,))))))</f>
        <v>0.6</v>
      </c>
      <c r="Q29" s="210" t="str">
        <f ca="1">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Moderado</v>
      </c>
      <c r="R29" s="122">
        <v>1</v>
      </c>
      <c r="S29" s="123" t="s">
        <v>334</v>
      </c>
      <c r="T29" s="124" t="str">
        <f t="shared" si="0"/>
        <v>Probabilidad</v>
      </c>
      <c r="U29" s="125" t="s">
        <v>14</v>
      </c>
      <c r="V29" s="125" t="s">
        <v>8</v>
      </c>
      <c r="W29" s="126" t="str">
        <f>IF(AND(U29="Preventivo",V29="Automático"),"50%",IF(AND(U29="Preventivo",V29="Manual"),"40%",IF(AND(U29="Detectivo",V29="Automático"),"40%",IF(AND(U29="Detectivo",V29="Manual"),"30%",IF(AND(U29="Correctivo",V29="Automático"),"35%",IF(AND(U29="Correctivo",V29="Manual"),"25%",""))))))</f>
        <v>30%</v>
      </c>
      <c r="X29" s="125" t="s">
        <v>18</v>
      </c>
      <c r="Y29" s="125" t="s">
        <v>21</v>
      </c>
      <c r="Z29" s="125" t="s">
        <v>111</v>
      </c>
      <c r="AA29" s="127">
        <f>IFERROR(IF(T29="Probabilidad",(L29-(+L29*W29)),IF(T29="Impacto",L29,"")),"")</f>
        <v>0.42</v>
      </c>
      <c r="AB29" s="128" t="str">
        <f>IFERROR(IF(AA29="","",IF(AA29&lt;=0.2,"Muy Baja",IF(AA29&lt;=0.4,"Baja",IF(AA29&lt;=0.6,"Media",IF(AA29&lt;=0.8,"Alta","Muy Alta"))))),"")</f>
        <v>Media</v>
      </c>
      <c r="AC29" s="129">
        <f>+AA29</f>
        <v>0.42</v>
      </c>
      <c r="AD29" s="128" t="str">
        <f ca="1">IFERROR(IF(AE29="","",IF(AE29&lt;=0.2,"Leve",IF(AE29&lt;=0.4,"Menor",IF(AE29&lt;=0.6,"Moderado",IF(AE29&lt;=0.8,"Mayor","Catastrófico"))))),"")</f>
        <v>Moderado</v>
      </c>
      <c r="AE29" s="129">
        <f ca="1">IFERROR(IF(T29="Impacto",(P29-(+P29*W29)),IF(T29="Probabilidad",P29,"")),"")</f>
        <v>0.6</v>
      </c>
      <c r="AF29" s="130" t="str">
        <f ca="1">IFERROR(IF(OR(AND(AB29="Muy Baja",AD29="Leve"),AND(AB29="Muy Baja",AD29="Menor"),AND(AB29="Baja",AD29="Leve")),"Bajo",IF(OR(AND(AB29="Muy baja",AD29="Moderado"),AND(AB29="Baja",AD29="Menor"),AND(AB29="Baja",AD29="Moderado"),AND(AB29="Media",AD29="Leve"),AND(AB29="Media",AD29="Menor"),AND(AB29="Media",AD29="Moderado"),AND(AB29="Alta",AD29="Leve"),AND(AB29="Alta",AD29="Menor")),"Moderado",IF(OR(AND(AB29="Muy Baja",AD29="Mayor"),AND(AB29="Baja",AD29="Mayor"),AND(AB29="Media",AD29="Mayor"),AND(AB29="Alta",AD29="Moderado"),AND(AB29="Alta",AD29="Mayor"),AND(AB29="Muy Alta",AD29="Leve"),AND(AB29="Muy Alta",AD29="Menor"),AND(AB29="Muy Alta",AD29="Moderado"),AND(AB29="Muy Alta",AD29="Mayor")),"Alto",IF(OR(AND(AB29="Muy Baja",AD29="Catastrófico"),AND(AB29="Baja",AD29="Catastrófico"),AND(AB29="Media",AD29="Catastrófico"),AND(AB29="Alta",AD29="Catastrófico"),AND(AB29="Muy Alta",AD29="Catastrófico")),"Extremo","")))),"")</f>
        <v>Moderado</v>
      </c>
      <c r="AG29" s="131" t="s">
        <v>30</v>
      </c>
      <c r="AH29" s="132"/>
      <c r="AI29" s="133"/>
      <c r="AJ29" s="134"/>
      <c r="AK29" s="134"/>
      <c r="AL29" s="132"/>
      <c r="AM29" s="133"/>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1" ht="68.45" customHeight="1" x14ac:dyDescent="0.3">
      <c r="A30" s="243"/>
      <c r="B30" s="202"/>
      <c r="C30" s="202"/>
      <c r="D30" s="202"/>
      <c r="E30" s="138" t="s">
        <v>320</v>
      </c>
      <c r="F30" s="202"/>
      <c r="G30" s="246"/>
      <c r="H30" s="246"/>
      <c r="I30" s="202"/>
      <c r="J30" s="249"/>
      <c r="K30" s="208"/>
      <c r="L30" s="205"/>
      <c r="M30" s="252"/>
      <c r="N30" s="205">
        <f ca="1">IF(NOT(ISERROR(MATCH(M30,_xlfn.ANCHORARRAY(H35),0))),L37&amp;"Por favor no seleccionar los criterios de impacto",M30)</f>
        <v>0</v>
      </c>
      <c r="O30" s="208"/>
      <c r="P30" s="205"/>
      <c r="Q30" s="211"/>
      <c r="R30" s="122">
        <v>2</v>
      </c>
      <c r="S30" s="123"/>
      <c r="T30" s="124" t="str">
        <f t="shared" si="0"/>
        <v/>
      </c>
      <c r="U30" s="125"/>
      <c r="V30" s="125"/>
      <c r="W30" s="126" t="str">
        <f t="shared" ref="W30:W34" si="20">IF(AND(U30="Preventivo",V30="Automático"),"50%",IF(AND(U30="Preventivo",V30="Manual"),"40%",IF(AND(U30="Detectivo",V30="Automático"),"40%",IF(AND(U30="Detectivo",V30="Manual"),"30%",IF(AND(U30="Correctivo",V30="Automático"),"35%",IF(AND(U30="Correctivo",V30="Manual"),"25%",""))))))</f>
        <v/>
      </c>
      <c r="X30" s="125"/>
      <c r="Y30" s="125"/>
      <c r="Z30" s="125"/>
      <c r="AA30" s="127" t="str">
        <f>IFERROR(IF(AND(T29="Probabilidad",T30="Probabilidad"),(AC29-(+AC29*W30)),IF(T30="Probabilidad",(L29-(+L29*W30)),IF(T30="Impacto",AC29,""))),"")</f>
        <v/>
      </c>
      <c r="AB30" s="128" t="str">
        <f t="shared" si="2"/>
        <v/>
      </c>
      <c r="AC30" s="129" t="str">
        <f t="shared" ref="AC30:AC34" si="21">+AA30</f>
        <v/>
      </c>
      <c r="AD30" s="128" t="str">
        <f t="shared" si="4"/>
        <v/>
      </c>
      <c r="AE30" s="129" t="str">
        <f>IFERROR(IF(AND(T29="Impacto",T30="Impacto"),(AE29-(+AE29*W30)),IF(T30="Impacto",(P29-(+P29*W30)),IF(T30="Probabilidad",AE29,""))),"")</f>
        <v/>
      </c>
      <c r="AF30" s="130" t="str">
        <f t="shared" ref="AF30:AF31" si="22">IFERROR(IF(OR(AND(AB30="Muy Baja",AD30="Leve"),AND(AB30="Muy Baja",AD30="Menor"),AND(AB30="Baja",AD30="Leve")),"Bajo",IF(OR(AND(AB30="Muy baja",AD30="Moderado"),AND(AB30="Baja",AD30="Menor"),AND(AB30="Baja",AD30="Moderado"),AND(AB30="Media",AD30="Leve"),AND(AB30="Media",AD30="Menor"),AND(AB30="Media",AD30="Moderado"),AND(AB30="Alta",AD30="Leve"),AND(AB30="Alta",AD30="Menor")),"Moderado",IF(OR(AND(AB30="Muy Baja",AD30="Mayor"),AND(AB30="Baja",AD30="Mayor"),AND(AB30="Media",AD30="Mayor"),AND(AB30="Alta",AD30="Moderado"),AND(AB30="Alta",AD30="Mayor"),AND(AB30="Muy Alta",AD30="Leve"),AND(AB30="Muy Alta",AD30="Menor"),AND(AB30="Muy Alta",AD30="Moderado"),AND(AB30="Muy Alta",AD30="Mayor")),"Alto",IF(OR(AND(AB30="Muy Baja",AD30="Catastrófico"),AND(AB30="Baja",AD30="Catastrófico"),AND(AB30="Media",AD30="Catastrófico"),AND(AB30="Alta",AD30="Catastrófico"),AND(AB30="Muy Alta",AD30="Catastrófico")),"Extremo","")))),"")</f>
        <v/>
      </c>
      <c r="AG30" s="131"/>
      <c r="AH30" s="132"/>
      <c r="AI30" s="133"/>
      <c r="AJ30" s="134"/>
      <c r="AK30" s="134"/>
      <c r="AL30" s="132"/>
      <c r="AM30" s="133"/>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row>
    <row r="31" spans="1:71" ht="68.45" customHeight="1" x14ac:dyDescent="0.3">
      <c r="A31" s="243"/>
      <c r="B31" s="202"/>
      <c r="C31" s="202"/>
      <c r="D31" s="202"/>
      <c r="E31" s="138" t="s">
        <v>330</v>
      </c>
      <c r="F31" s="202"/>
      <c r="G31" s="246"/>
      <c r="H31" s="246"/>
      <c r="I31" s="202"/>
      <c r="J31" s="249"/>
      <c r="K31" s="208"/>
      <c r="L31" s="205"/>
      <c r="M31" s="252"/>
      <c r="N31" s="205">
        <f ca="1">IF(NOT(ISERROR(MATCH(M31,_xlfn.ANCHORARRAY(H36),0))),L38&amp;"Por favor no seleccionar los criterios de impacto",M31)</f>
        <v>0</v>
      </c>
      <c r="O31" s="208"/>
      <c r="P31" s="205"/>
      <c r="Q31" s="211"/>
      <c r="R31" s="122">
        <v>3</v>
      </c>
      <c r="S31" s="135"/>
      <c r="T31" s="124" t="str">
        <f t="shared" si="0"/>
        <v/>
      </c>
      <c r="U31" s="125"/>
      <c r="V31" s="125"/>
      <c r="W31" s="126" t="str">
        <f t="shared" si="20"/>
        <v/>
      </c>
      <c r="X31" s="125"/>
      <c r="Y31" s="125"/>
      <c r="Z31" s="125"/>
      <c r="AA31" s="127" t="str">
        <f>IFERROR(IF(AND(T30="Probabilidad",T31="Probabilidad"),(AC30-(+AC30*W31)),IF(AND(T30="Impacto",T31="Probabilidad"),(AC29-(+AC29*W31)),IF(T31="Impacto",AC30,""))),"")</f>
        <v/>
      </c>
      <c r="AB31" s="128" t="str">
        <f t="shared" si="2"/>
        <v/>
      </c>
      <c r="AC31" s="129" t="str">
        <f t="shared" si="21"/>
        <v/>
      </c>
      <c r="AD31" s="128" t="str">
        <f t="shared" si="4"/>
        <v/>
      </c>
      <c r="AE31" s="129" t="str">
        <f>IFERROR(IF(AND(T30="Impacto",T31="Impacto"),(AE30-(+AE30*W31)),IF(AND(T30="Probabilidad",T31="Impacto"),(AE29-(+AE29*W31)),IF(T31="Probabilidad",AE30,""))),"")</f>
        <v/>
      </c>
      <c r="AF31" s="130" t="str">
        <f t="shared" si="22"/>
        <v/>
      </c>
      <c r="AG31" s="131"/>
      <c r="AH31" s="132"/>
      <c r="AI31" s="133"/>
      <c r="AJ31" s="134"/>
      <c r="AK31" s="134"/>
      <c r="AL31" s="132"/>
      <c r="AM31" s="133"/>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1" ht="68.45" customHeight="1" x14ac:dyDescent="0.3">
      <c r="A32" s="243"/>
      <c r="B32" s="202"/>
      <c r="C32" s="202"/>
      <c r="D32" s="202"/>
      <c r="E32" s="138" t="s">
        <v>321</v>
      </c>
      <c r="F32" s="202"/>
      <c r="G32" s="246"/>
      <c r="H32" s="246"/>
      <c r="I32" s="202"/>
      <c r="J32" s="249"/>
      <c r="K32" s="208"/>
      <c r="L32" s="205"/>
      <c r="M32" s="252"/>
      <c r="N32" s="205">
        <f ca="1">IF(NOT(ISERROR(MATCH(M32,_xlfn.ANCHORARRAY(H37),0))),L39&amp;"Por favor no seleccionar los criterios de impacto",M32)</f>
        <v>0</v>
      </c>
      <c r="O32" s="208"/>
      <c r="P32" s="205"/>
      <c r="Q32" s="211"/>
      <c r="R32" s="122">
        <v>4</v>
      </c>
      <c r="S32" s="123"/>
      <c r="T32" s="124" t="str">
        <f t="shared" si="0"/>
        <v/>
      </c>
      <c r="U32" s="125"/>
      <c r="V32" s="125"/>
      <c r="W32" s="126" t="str">
        <f t="shared" si="20"/>
        <v/>
      </c>
      <c r="X32" s="125"/>
      <c r="Y32" s="125"/>
      <c r="Z32" s="125"/>
      <c r="AA32" s="127" t="str">
        <f t="shared" ref="AA32:AA34" si="23">IFERROR(IF(AND(T31="Probabilidad",T32="Probabilidad"),(AC31-(+AC31*W32)),IF(AND(T31="Impacto",T32="Probabilidad"),(AC30-(+AC30*W32)),IF(T32="Impacto",AC31,""))),"")</f>
        <v/>
      </c>
      <c r="AB32" s="128" t="str">
        <f t="shared" si="2"/>
        <v/>
      </c>
      <c r="AC32" s="129" t="str">
        <f t="shared" si="21"/>
        <v/>
      </c>
      <c r="AD32" s="128" t="str">
        <f t="shared" si="4"/>
        <v/>
      </c>
      <c r="AE32" s="129" t="str">
        <f t="shared" ref="AE32:AE34" si="24">IFERROR(IF(AND(T31="Impacto",T32="Impacto"),(AE31-(+AE31*W32)),IF(AND(T31="Probabilidad",T32="Impacto"),(AE30-(+AE30*W32)),IF(T32="Probabilidad",AE31,""))),"")</f>
        <v/>
      </c>
      <c r="AF32" s="130" t="str">
        <f>IFERROR(IF(OR(AND(AB32="Muy Baja",AD32="Leve"),AND(AB32="Muy Baja",AD32="Menor"),AND(AB32="Baja",AD32="Leve")),"Bajo",IF(OR(AND(AB32="Muy baja",AD32="Moderado"),AND(AB32="Baja",AD32="Menor"),AND(AB32="Baja",AD32="Moderado"),AND(AB32="Media",AD32="Leve"),AND(AB32="Media",AD32="Menor"),AND(AB32="Media",AD32="Moderado"),AND(AB32="Alta",AD32="Leve"),AND(AB32="Alta",AD32="Menor")),"Moderado",IF(OR(AND(AB32="Muy Baja",AD32="Mayor"),AND(AB32="Baja",AD32="Mayor"),AND(AB32="Media",AD32="Mayor"),AND(AB32="Alta",AD32="Moderado"),AND(AB32="Alta",AD32="Mayor"),AND(AB32="Muy Alta",AD32="Leve"),AND(AB32="Muy Alta",AD32="Menor"),AND(AB32="Muy Alta",AD32="Moderado"),AND(AB32="Muy Alta",AD32="Mayor")),"Alto",IF(OR(AND(AB32="Muy Baja",AD32="Catastrófico"),AND(AB32="Baja",AD32="Catastrófico"),AND(AB32="Media",AD32="Catastrófico"),AND(AB32="Alta",AD32="Catastrófico"),AND(AB32="Muy Alta",AD32="Catastrófico")),"Extremo","")))),"")</f>
        <v/>
      </c>
      <c r="AG32" s="131"/>
      <c r="AH32" s="132"/>
      <c r="AI32" s="133"/>
      <c r="AJ32" s="134"/>
      <c r="AK32" s="134"/>
      <c r="AL32" s="132"/>
      <c r="AM32" s="133"/>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row>
    <row r="33" spans="1:71" ht="68.45" customHeight="1" x14ac:dyDescent="0.3">
      <c r="A33" s="243"/>
      <c r="B33" s="202"/>
      <c r="C33" s="202"/>
      <c r="D33" s="202"/>
      <c r="E33" s="138" t="s">
        <v>331</v>
      </c>
      <c r="F33" s="202"/>
      <c r="G33" s="246"/>
      <c r="H33" s="246"/>
      <c r="I33" s="202"/>
      <c r="J33" s="249"/>
      <c r="K33" s="208"/>
      <c r="L33" s="205"/>
      <c r="M33" s="252"/>
      <c r="N33" s="205">
        <f ca="1">IF(NOT(ISERROR(MATCH(M33,_xlfn.ANCHORARRAY(H38),0))),L40&amp;"Por favor no seleccionar los criterios de impacto",M33)</f>
        <v>0</v>
      </c>
      <c r="O33" s="208"/>
      <c r="P33" s="205"/>
      <c r="Q33" s="211"/>
      <c r="R33" s="122">
        <v>5</v>
      </c>
      <c r="S33" s="123"/>
      <c r="T33" s="124" t="str">
        <f t="shared" si="0"/>
        <v/>
      </c>
      <c r="U33" s="125"/>
      <c r="V33" s="125"/>
      <c r="W33" s="126" t="str">
        <f t="shared" si="20"/>
        <v/>
      </c>
      <c r="X33" s="125"/>
      <c r="Y33" s="125"/>
      <c r="Z33" s="125"/>
      <c r="AA33" s="136" t="str">
        <f t="shared" si="23"/>
        <v/>
      </c>
      <c r="AB33" s="128" t="str">
        <f>IFERROR(IF(AA33="","",IF(AA33&lt;=0.2,"Muy Baja",IF(AA33&lt;=0.4,"Baja",IF(AA33&lt;=0.6,"Media",IF(AA33&lt;=0.8,"Alta","Muy Alta"))))),"")</f>
        <v/>
      </c>
      <c r="AC33" s="129" t="str">
        <f t="shared" si="21"/>
        <v/>
      </c>
      <c r="AD33" s="128" t="str">
        <f t="shared" si="4"/>
        <v/>
      </c>
      <c r="AE33" s="129" t="str">
        <f t="shared" si="24"/>
        <v/>
      </c>
      <c r="AF33" s="130" t="str">
        <f t="shared" ref="AF33:AF34" si="25">IFERROR(IF(OR(AND(AB33="Muy Baja",AD33="Leve"),AND(AB33="Muy Baja",AD33="Menor"),AND(AB33="Baja",AD33="Leve")),"Bajo",IF(OR(AND(AB33="Muy baja",AD33="Moderado"),AND(AB33="Baja",AD33="Menor"),AND(AB33="Baja",AD33="Moderado"),AND(AB33="Media",AD33="Leve"),AND(AB33="Media",AD33="Menor"),AND(AB33="Media",AD33="Moderado"),AND(AB33="Alta",AD33="Leve"),AND(AB33="Alta",AD33="Menor")),"Moderado",IF(OR(AND(AB33="Muy Baja",AD33="Mayor"),AND(AB33="Baja",AD33="Mayor"),AND(AB33="Media",AD33="Mayor"),AND(AB33="Alta",AD33="Moderado"),AND(AB33="Alta",AD33="Mayor"),AND(AB33="Muy Alta",AD33="Leve"),AND(AB33="Muy Alta",AD33="Menor"),AND(AB33="Muy Alta",AD33="Moderado"),AND(AB33="Muy Alta",AD33="Mayor")),"Alto",IF(OR(AND(AB33="Muy Baja",AD33="Catastrófico"),AND(AB33="Baja",AD33="Catastrófico"),AND(AB33="Media",AD33="Catastrófico"),AND(AB33="Alta",AD33="Catastrófico"),AND(AB33="Muy Alta",AD33="Catastrófico")),"Extremo","")))),"")</f>
        <v/>
      </c>
      <c r="AG33" s="131"/>
      <c r="AH33" s="132"/>
      <c r="AI33" s="133"/>
      <c r="AJ33" s="134"/>
      <c r="AK33" s="134"/>
      <c r="AL33" s="132"/>
      <c r="AM33" s="133"/>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row>
    <row r="34" spans="1:71" ht="68.45" customHeight="1" x14ac:dyDescent="0.3">
      <c r="A34" s="244"/>
      <c r="B34" s="203"/>
      <c r="C34" s="203"/>
      <c r="D34" s="203"/>
      <c r="E34" s="139" t="s">
        <v>332</v>
      </c>
      <c r="F34" s="203"/>
      <c r="G34" s="247"/>
      <c r="H34" s="247"/>
      <c r="I34" s="203"/>
      <c r="J34" s="250"/>
      <c r="K34" s="209"/>
      <c r="L34" s="206"/>
      <c r="M34" s="253"/>
      <c r="N34" s="206">
        <f ca="1">IF(NOT(ISERROR(MATCH(M34,_xlfn.ANCHORARRAY(H39),0))),L41&amp;"Por favor no seleccionar los criterios de impacto",M34)</f>
        <v>0</v>
      </c>
      <c r="O34" s="209"/>
      <c r="P34" s="206"/>
      <c r="Q34" s="212"/>
      <c r="R34" s="122">
        <v>6</v>
      </c>
      <c r="S34" s="123"/>
      <c r="T34" s="124" t="str">
        <f t="shared" si="0"/>
        <v/>
      </c>
      <c r="U34" s="125"/>
      <c r="V34" s="125"/>
      <c r="W34" s="126" t="str">
        <f t="shared" si="20"/>
        <v/>
      </c>
      <c r="X34" s="125"/>
      <c r="Y34" s="125"/>
      <c r="Z34" s="125"/>
      <c r="AA34" s="127" t="str">
        <f t="shared" si="23"/>
        <v/>
      </c>
      <c r="AB34" s="128" t="str">
        <f t="shared" si="2"/>
        <v/>
      </c>
      <c r="AC34" s="129" t="str">
        <f t="shared" si="21"/>
        <v/>
      </c>
      <c r="AD34" s="128" t="str">
        <f t="shared" si="4"/>
        <v/>
      </c>
      <c r="AE34" s="129" t="str">
        <f t="shared" si="24"/>
        <v/>
      </c>
      <c r="AF34" s="130" t="str">
        <f t="shared" si="25"/>
        <v/>
      </c>
      <c r="AG34" s="131"/>
      <c r="AH34" s="132"/>
      <c r="AI34" s="133"/>
      <c r="AJ34" s="134"/>
      <c r="AK34" s="134"/>
      <c r="AL34" s="132"/>
      <c r="AM34" s="133"/>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row>
    <row r="35" spans="1:71" ht="68.45" customHeight="1" x14ac:dyDescent="0.3">
      <c r="A35" s="242">
        <v>5</v>
      </c>
      <c r="B35" s="201" t="s">
        <v>188</v>
      </c>
      <c r="C35" s="201" t="s">
        <v>339</v>
      </c>
      <c r="D35" s="201" t="s">
        <v>116</v>
      </c>
      <c r="E35" s="137" t="s">
        <v>335</v>
      </c>
      <c r="F35" s="201" t="s">
        <v>326</v>
      </c>
      <c r="G35" s="245" t="s">
        <v>194</v>
      </c>
      <c r="H35" s="245" t="s">
        <v>325</v>
      </c>
      <c r="I35" s="201" t="s">
        <v>211</v>
      </c>
      <c r="J35" s="248">
        <v>320</v>
      </c>
      <c r="K35" s="207" t="str">
        <f>IF(J35&lt;=0,"",IF(J35&lt;=2,"Muy Baja",IF(J35&lt;=24,"Baja",IF(J35&lt;=500,"Media",IF(J35&lt;=5000,"Alta","Muy Alta")))))</f>
        <v>Media</v>
      </c>
      <c r="L35" s="204">
        <f>IF(K35="","",IF(K35="Muy Baja",0.2,IF(K35="Baja",0.4,IF(K35="Media",0.6,IF(K35="Alta",0.8,IF(K35="Muy Alta",1,))))))</f>
        <v>0.6</v>
      </c>
      <c r="M35" s="251" t="s">
        <v>137</v>
      </c>
      <c r="N35" s="204" t="str">
        <f ca="1">IF(NOT(ISERROR(MATCH(M35,'Tabla Impacto'!$B$221:$B$223,0))),'Tabla Impacto'!$F$223&amp;"Por favor no seleccionar los criterios de impacto(Afectación Económica o presupuestal y Pérdida Reputacional)",M35)</f>
        <v xml:space="preserve">     El riesgo afecta la imagen de la entidad con algunos usuarios de relevancia frente al logro de los objetivos</v>
      </c>
      <c r="O35" s="207" t="str">
        <f ca="1">IF(OR(N35='Tabla Impacto'!$C$11,N35='Tabla Impacto'!$D$11),"Leve",IF(OR(N35='Tabla Impacto'!$C$12,N35='Tabla Impacto'!$D$12),"Menor",IF(OR(N35='Tabla Impacto'!$C$13,N35='Tabla Impacto'!$D$13),"Moderado",IF(OR(N35='Tabla Impacto'!$C$14,N35='Tabla Impacto'!$D$14),"Mayor",IF(OR(N35='Tabla Impacto'!$C$15,N35='Tabla Impacto'!$D$15),"Catastrófico","")))))</f>
        <v>Moderado</v>
      </c>
      <c r="P35" s="204">
        <f ca="1">IF(O35="","",IF(O35="Leve",0.2,IF(O35="Menor",0.4,IF(O35="Moderado",0.6,IF(O35="Mayor",0.8,IF(O35="Catastrófico",1,))))))</f>
        <v>0.6</v>
      </c>
      <c r="Q35" s="210" t="str">
        <f ca="1">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Moderado</v>
      </c>
      <c r="R35" s="122">
        <v>1</v>
      </c>
      <c r="S35" s="123" t="s">
        <v>340</v>
      </c>
      <c r="T35" s="124" t="str">
        <f t="shared" si="0"/>
        <v>Probabilidad</v>
      </c>
      <c r="U35" s="125" t="s">
        <v>13</v>
      </c>
      <c r="V35" s="125" t="s">
        <v>8</v>
      </c>
      <c r="W35" s="126" t="str">
        <f>IF(AND(U35="Preventivo",V35="Automático"),"50%",IF(AND(U35="Preventivo",V35="Manual"),"40%",IF(AND(U35="Detectivo",V35="Automático"),"40%",IF(AND(U35="Detectivo",V35="Manual"),"30%",IF(AND(U35="Correctivo",V35="Automático"),"35%",IF(AND(U35="Correctivo",V35="Manual"),"25%",""))))))</f>
        <v>40%</v>
      </c>
      <c r="X35" s="125"/>
      <c r="Y35" s="125"/>
      <c r="Z35" s="125"/>
      <c r="AA35" s="127">
        <f>IFERROR(IF(T35="Probabilidad",(L35-(+L35*W35)),IF(T35="Impacto",L35,"")),"")</f>
        <v>0.36</v>
      </c>
      <c r="AB35" s="128" t="str">
        <f>IFERROR(IF(AA35="","",IF(AA35&lt;=0.2,"Muy Baja",IF(AA35&lt;=0.4,"Baja",IF(AA35&lt;=0.6,"Media",IF(AA35&lt;=0.8,"Alta","Muy Alta"))))),"")</f>
        <v>Baja</v>
      </c>
      <c r="AC35" s="129">
        <f>+AA35</f>
        <v>0.36</v>
      </c>
      <c r="AD35" s="128" t="str">
        <f ca="1">IFERROR(IF(AE35="","",IF(AE35&lt;=0.2,"Leve",IF(AE35&lt;=0.4,"Menor",IF(AE35&lt;=0.6,"Moderado",IF(AE35&lt;=0.8,"Mayor","Catastrófico"))))),"")</f>
        <v>Moderado</v>
      </c>
      <c r="AE35" s="129">
        <f ca="1">IFERROR(IF(T35="Impacto",(P35-(+P35*W35)),IF(T35="Probabilidad",P35,"")),"")</f>
        <v>0.6</v>
      </c>
      <c r="AF35" s="130" t="str">
        <f ca="1">IFERROR(IF(OR(AND(AB35="Muy Baja",AD35="Leve"),AND(AB35="Muy Baja",AD35="Menor"),AND(AB35="Baja",AD35="Leve")),"Bajo",IF(OR(AND(AB35="Muy baja",AD35="Moderado"),AND(AB35="Baja",AD35="Menor"),AND(AB35="Baja",AD35="Moderado"),AND(AB35="Media",AD35="Leve"),AND(AB35="Media",AD35="Menor"),AND(AB35="Media",AD35="Moderado"),AND(AB35="Alta",AD35="Leve"),AND(AB35="Alta",AD35="Menor")),"Moderado",IF(OR(AND(AB35="Muy Baja",AD35="Mayor"),AND(AB35="Baja",AD35="Mayor"),AND(AB35="Media",AD35="Mayor"),AND(AB35="Alta",AD35="Moderado"),AND(AB35="Alta",AD35="Mayor"),AND(AB35="Muy Alta",AD35="Leve"),AND(AB35="Muy Alta",AD35="Menor"),AND(AB35="Muy Alta",AD35="Moderado"),AND(AB35="Muy Alta",AD35="Mayor")),"Alto",IF(OR(AND(AB35="Muy Baja",AD35="Catastrófico"),AND(AB35="Baja",AD35="Catastrófico"),AND(AB35="Media",AD35="Catastrófico"),AND(AB35="Alta",AD35="Catastrófico"),AND(AB35="Muy Alta",AD35="Catastrófico")),"Extremo","")))),"")</f>
        <v>Moderado</v>
      </c>
      <c r="AG35" s="131" t="s">
        <v>30</v>
      </c>
      <c r="AH35" s="132"/>
      <c r="AI35" s="133"/>
      <c r="AJ35" s="134"/>
      <c r="AK35" s="134"/>
      <c r="AL35" s="132"/>
      <c r="AM35" s="133"/>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row>
    <row r="36" spans="1:71" ht="68.45" customHeight="1" x14ac:dyDescent="0.3">
      <c r="A36" s="243"/>
      <c r="B36" s="202"/>
      <c r="C36" s="202"/>
      <c r="D36" s="202"/>
      <c r="E36" s="138" t="s">
        <v>322</v>
      </c>
      <c r="F36" s="202"/>
      <c r="G36" s="246"/>
      <c r="H36" s="246"/>
      <c r="I36" s="202"/>
      <c r="J36" s="249"/>
      <c r="K36" s="208"/>
      <c r="L36" s="205"/>
      <c r="M36" s="252"/>
      <c r="N36" s="205">
        <f ca="1">IF(NOT(ISERROR(MATCH(M36,_xlfn.ANCHORARRAY(H47),0))),L49&amp;"Por favor no seleccionar los criterios de impacto",M36)</f>
        <v>0</v>
      </c>
      <c r="O36" s="208"/>
      <c r="P36" s="205"/>
      <c r="Q36" s="211"/>
      <c r="R36" s="122">
        <v>2</v>
      </c>
      <c r="S36" s="123"/>
      <c r="T36" s="124" t="str">
        <f t="shared" si="0"/>
        <v/>
      </c>
      <c r="U36" s="125"/>
      <c r="V36" s="125"/>
      <c r="W36" s="126" t="str">
        <f t="shared" ref="W36:W40" si="26">IF(AND(U36="Preventivo",V36="Automático"),"50%",IF(AND(U36="Preventivo",V36="Manual"),"40%",IF(AND(U36="Detectivo",V36="Automático"),"40%",IF(AND(U36="Detectivo",V36="Manual"),"30%",IF(AND(U36="Correctivo",V36="Automático"),"35%",IF(AND(U36="Correctivo",V36="Manual"),"25%",""))))))</f>
        <v/>
      </c>
      <c r="X36" s="125"/>
      <c r="Y36" s="125"/>
      <c r="Z36" s="125"/>
      <c r="AA36" s="127" t="str">
        <f>IFERROR(IF(AND(T35="Probabilidad",T36="Probabilidad"),(AC35-(+AC35*W36)),IF(T36="Probabilidad",(L35-(+L35*W36)),IF(T36="Impacto",AC35,""))),"")</f>
        <v/>
      </c>
      <c r="AB36" s="128" t="str">
        <f t="shared" si="2"/>
        <v/>
      </c>
      <c r="AC36" s="129" t="str">
        <f t="shared" ref="AC36:AC40" si="27">+AA36</f>
        <v/>
      </c>
      <c r="AD36" s="128" t="str">
        <f t="shared" si="4"/>
        <v/>
      </c>
      <c r="AE36" s="129" t="str">
        <f>IFERROR(IF(AND(T35="Impacto",T36="Impacto"),(AE35-(+AE35*W36)),IF(T36="Impacto",(P35-(+P35*W36)),IF(T36="Probabilidad",AE35,""))),"")</f>
        <v/>
      </c>
      <c r="AF36" s="130" t="str">
        <f t="shared" ref="AF36:AF37" si="28">IFERROR(IF(OR(AND(AB36="Muy Baja",AD36="Leve"),AND(AB36="Muy Baja",AD36="Menor"),AND(AB36="Baja",AD36="Leve")),"Bajo",IF(OR(AND(AB36="Muy baja",AD36="Moderado"),AND(AB36="Baja",AD36="Menor"),AND(AB36="Baja",AD36="Moderado"),AND(AB36="Media",AD36="Leve"),AND(AB36="Media",AD36="Menor"),AND(AB36="Media",AD36="Moderado"),AND(AB36="Alta",AD36="Leve"),AND(AB36="Alta",AD36="Menor")),"Moderado",IF(OR(AND(AB36="Muy Baja",AD36="Mayor"),AND(AB36="Baja",AD36="Mayor"),AND(AB36="Media",AD36="Mayor"),AND(AB36="Alta",AD36="Moderado"),AND(AB36="Alta",AD36="Mayor"),AND(AB36="Muy Alta",AD36="Leve"),AND(AB36="Muy Alta",AD36="Menor"),AND(AB36="Muy Alta",AD36="Moderado"),AND(AB36="Muy Alta",AD36="Mayor")),"Alto",IF(OR(AND(AB36="Muy Baja",AD36="Catastrófico"),AND(AB36="Baja",AD36="Catastrófico"),AND(AB36="Media",AD36="Catastrófico"),AND(AB36="Alta",AD36="Catastrófico"),AND(AB36="Muy Alta",AD36="Catastrófico")),"Extremo","")))),"")</f>
        <v/>
      </c>
      <c r="AG36" s="131"/>
      <c r="AH36" s="132"/>
      <c r="AI36" s="133"/>
      <c r="AJ36" s="134"/>
      <c r="AK36" s="134"/>
      <c r="AL36" s="132"/>
      <c r="AM36" s="133"/>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row>
    <row r="37" spans="1:71" ht="68.45" customHeight="1" x14ac:dyDescent="0.3">
      <c r="A37" s="243"/>
      <c r="B37" s="202"/>
      <c r="C37" s="202"/>
      <c r="D37" s="202"/>
      <c r="E37" s="138" t="s">
        <v>323</v>
      </c>
      <c r="F37" s="202"/>
      <c r="G37" s="246"/>
      <c r="H37" s="246"/>
      <c r="I37" s="202"/>
      <c r="J37" s="249"/>
      <c r="K37" s="208"/>
      <c r="L37" s="205"/>
      <c r="M37" s="252"/>
      <c r="N37" s="205">
        <f ca="1">IF(NOT(ISERROR(MATCH(M37,_xlfn.ANCHORARRAY(H48),0))),L50&amp;"Por favor no seleccionar los criterios de impacto",M37)</f>
        <v>0</v>
      </c>
      <c r="O37" s="208"/>
      <c r="P37" s="205"/>
      <c r="Q37" s="211"/>
      <c r="R37" s="122">
        <v>3</v>
      </c>
      <c r="S37" s="135"/>
      <c r="T37" s="124" t="str">
        <f t="shared" si="0"/>
        <v/>
      </c>
      <c r="U37" s="125"/>
      <c r="V37" s="125"/>
      <c r="W37" s="126" t="str">
        <f t="shared" si="26"/>
        <v/>
      </c>
      <c r="X37" s="125"/>
      <c r="Y37" s="125"/>
      <c r="Z37" s="125"/>
      <c r="AA37" s="127" t="str">
        <f>IFERROR(IF(AND(T36="Probabilidad",T37="Probabilidad"),(AC36-(+AC36*W37)),IF(AND(T36="Impacto",T37="Probabilidad"),(AC35-(+AC35*W37)),IF(T37="Impacto",AC36,""))),"")</f>
        <v/>
      </c>
      <c r="AB37" s="128" t="str">
        <f t="shared" si="2"/>
        <v/>
      </c>
      <c r="AC37" s="129" t="str">
        <f t="shared" si="27"/>
        <v/>
      </c>
      <c r="AD37" s="128" t="str">
        <f t="shared" si="4"/>
        <v/>
      </c>
      <c r="AE37" s="129" t="str">
        <f>IFERROR(IF(AND(T36="Impacto",T37="Impacto"),(AE36-(+AE36*W37)),IF(AND(T36="Probabilidad",T37="Impacto"),(AE35-(+AE35*W37)),IF(T37="Probabilidad",AE36,""))),"")</f>
        <v/>
      </c>
      <c r="AF37" s="130" t="str">
        <f t="shared" si="28"/>
        <v/>
      </c>
      <c r="AG37" s="131"/>
      <c r="AH37" s="132"/>
      <c r="AI37" s="133"/>
      <c r="AJ37" s="134"/>
      <c r="AK37" s="134"/>
      <c r="AL37" s="132"/>
      <c r="AM37" s="133"/>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row>
    <row r="38" spans="1:71" ht="68.45" customHeight="1" x14ac:dyDescent="0.3">
      <c r="A38" s="243"/>
      <c r="B38" s="202"/>
      <c r="C38" s="202"/>
      <c r="D38" s="202"/>
      <c r="E38" s="138" t="s">
        <v>336</v>
      </c>
      <c r="F38" s="202"/>
      <c r="G38" s="246"/>
      <c r="H38" s="246"/>
      <c r="I38" s="202"/>
      <c r="J38" s="249"/>
      <c r="K38" s="208"/>
      <c r="L38" s="205"/>
      <c r="M38" s="252"/>
      <c r="N38" s="205">
        <f ca="1">IF(NOT(ISERROR(MATCH(M38,_xlfn.ANCHORARRAY(H49),0))),L51&amp;"Por favor no seleccionar los criterios de impacto",M38)</f>
        <v>0</v>
      </c>
      <c r="O38" s="208"/>
      <c r="P38" s="205"/>
      <c r="Q38" s="211"/>
      <c r="R38" s="122">
        <v>4</v>
      </c>
      <c r="S38" s="123"/>
      <c r="T38" s="124" t="str">
        <f t="shared" si="0"/>
        <v/>
      </c>
      <c r="U38" s="125"/>
      <c r="V38" s="125"/>
      <c r="W38" s="126" t="str">
        <f t="shared" si="26"/>
        <v/>
      </c>
      <c r="X38" s="125"/>
      <c r="Y38" s="125"/>
      <c r="Z38" s="125"/>
      <c r="AA38" s="127" t="str">
        <f t="shared" ref="AA38:AA40" si="29">IFERROR(IF(AND(T37="Probabilidad",T38="Probabilidad"),(AC37-(+AC37*W38)),IF(AND(T37="Impacto",T38="Probabilidad"),(AC36-(+AC36*W38)),IF(T38="Impacto",AC37,""))),"")</f>
        <v/>
      </c>
      <c r="AB38" s="128" t="str">
        <f t="shared" si="2"/>
        <v/>
      </c>
      <c r="AC38" s="129" t="str">
        <f t="shared" si="27"/>
        <v/>
      </c>
      <c r="AD38" s="128" t="str">
        <f t="shared" si="4"/>
        <v/>
      </c>
      <c r="AE38" s="129" t="str">
        <f t="shared" ref="AE38:AE40" si="30">IFERROR(IF(AND(T37="Impacto",T38="Impacto"),(AE37-(+AE37*W38)),IF(AND(T37="Probabilidad",T38="Impacto"),(AE36-(+AE36*W38)),IF(T38="Probabilidad",AE37,""))),"")</f>
        <v/>
      </c>
      <c r="AF38" s="130" t="str">
        <f>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
      </c>
      <c r="AG38" s="131"/>
      <c r="AH38" s="132"/>
      <c r="AI38" s="133"/>
      <c r="AJ38" s="134"/>
      <c r="AK38" s="134"/>
      <c r="AL38" s="132"/>
      <c r="AM38" s="133"/>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row>
    <row r="39" spans="1:71" ht="68.45" customHeight="1" x14ac:dyDescent="0.3">
      <c r="A39" s="243"/>
      <c r="B39" s="202"/>
      <c r="C39" s="202"/>
      <c r="D39" s="202"/>
      <c r="E39" s="138" t="s">
        <v>337</v>
      </c>
      <c r="F39" s="202"/>
      <c r="G39" s="246"/>
      <c r="H39" s="246"/>
      <c r="I39" s="202"/>
      <c r="J39" s="249"/>
      <c r="K39" s="208"/>
      <c r="L39" s="205"/>
      <c r="M39" s="252"/>
      <c r="N39" s="205">
        <f ca="1">IF(NOT(ISERROR(MATCH(M39,_xlfn.ANCHORARRAY(H50),0))),L52&amp;"Por favor no seleccionar los criterios de impacto",M39)</f>
        <v>0</v>
      </c>
      <c r="O39" s="208"/>
      <c r="P39" s="205"/>
      <c r="Q39" s="211"/>
      <c r="R39" s="122">
        <v>5</v>
      </c>
      <c r="S39" s="123"/>
      <c r="T39" s="124" t="str">
        <f t="shared" si="0"/>
        <v/>
      </c>
      <c r="U39" s="125"/>
      <c r="V39" s="125"/>
      <c r="W39" s="126" t="str">
        <f t="shared" si="26"/>
        <v/>
      </c>
      <c r="X39" s="125"/>
      <c r="Y39" s="125"/>
      <c r="Z39" s="125"/>
      <c r="AA39" s="127" t="str">
        <f t="shared" si="29"/>
        <v/>
      </c>
      <c r="AB39" s="128" t="str">
        <f t="shared" si="2"/>
        <v/>
      </c>
      <c r="AC39" s="129" t="str">
        <f t="shared" si="27"/>
        <v/>
      </c>
      <c r="AD39" s="128" t="str">
        <f t="shared" si="4"/>
        <v/>
      </c>
      <c r="AE39" s="129" t="str">
        <f t="shared" si="30"/>
        <v/>
      </c>
      <c r="AF39" s="130" t="str">
        <f t="shared" ref="AF39" si="31">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
      </c>
      <c r="AG39" s="131"/>
      <c r="AH39" s="132"/>
      <c r="AI39" s="133"/>
      <c r="AJ39" s="134"/>
      <c r="AK39" s="134"/>
      <c r="AL39" s="132"/>
      <c r="AM39" s="133"/>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row>
    <row r="40" spans="1:71" ht="68.45" customHeight="1" x14ac:dyDescent="0.3">
      <c r="A40" s="244"/>
      <c r="B40" s="203"/>
      <c r="C40" s="203"/>
      <c r="D40" s="203"/>
      <c r="E40" s="139" t="s">
        <v>338</v>
      </c>
      <c r="F40" s="203"/>
      <c r="G40" s="247"/>
      <c r="H40" s="247"/>
      <c r="I40" s="203"/>
      <c r="J40" s="250"/>
      <c r="K40" s="209"/>
      <c r="L40" s="206"/>
      <c r="M40" s="253"/>
      <c r="N40" s="206">
        <f ca="1">IF(NOT(ISERROR(MATCH(M40,_xlfn.ANCHORARRAY(H51),0))),L53&amp;"Por favor no seleccionar los criterios de impacto",M40)</f>
        <v>0</v>
      </c>
      <c r="O40" s="209"/>
      <c r="P40" s="206"/>
      <c r="Q40" s="212"/>
      <c r="R40" s="122">
        <v>6</v>
      </c>
      <c r="S40" s="123"/>
      <c r="T40" s="124" t="str">
        <f t="shared" si="0"/>
        <v/>
      </c>
      <c r="U40" s="125"/>
      <c r="V40" s="125"/>
      <c r="W40" s="126" t="str">
        <f t="shared" si="26"/>
        <v/>
      </c>
      <c r="X40" s="125"/>
      <c r="Y40" s="125"/>
      <c r="Z40" s="125"/>
      <c r="AA40" s="127" t="str">
        <f t="shared" si="29"/>
        <v/>
      </c>
      <c r="AB40" s="128" t="str">
        <f t="shared" si="2"/>
        <v/>
      </c>
      <c r="AC40" s="129" t="str">
        <f t="shared" si="27"/>
        <v/>
      </c>
      <c r="AD40" s="128" t="str">
        <f>IFERROR(IF(AE40="","",IF(AE40&lt;=0.2,"Leve",IF(AE40&lt;=0.4,"Menor",IF(AE40&lt;=0.6,"Moderado",IF(AE40&lt;=0.8,"Mayor","Catastrófico"))))),"")</f>
        <v/>
      </c>
      <c r="AE40" s="129" t="str">
        <f t="shared" si="30"/>
        <v/>
      </c>
      <c r="AF40" s="130" t="str">
        <f>IFERROR(IF(OR(AND(AB40="Muy Baja",AD40="Leve"),AND(AB40="Muy Baja",AD40="Menor"),AND(AB40="Baja",AD40="Leve")),"Bajo",IF(OR(AND(AB40="Muy baja",AD40="Moderado"),AND(AB40="Baja",AD40="Menor"),AND(AB40="Baja",AD40="Moderado"),AND(AB40="Media",AD40="Leve"),AND(AB40="Media",AD40="Menor"),AND(AB40="Media",AD40="Moderado"),AND(AB40="Alta",AD40="Leve"),AND(AB40="Alta",AD40="Menor")),"Moderado",IF(OR(AND(AB40="Muy Baja",AD40="Mayor"),AND(AB40="Baja",AD40="Mayor"),AND(AB40="Media",AD40="Mayor"),AND(AB40="Alta",AD40="Moderado"),AND(AB40="Alta",AD40="Mayor"),AND(AB40="Muy Alta",AD40="Leve"),AND(AB40="Muy Alta",AD40="Menor"),AND(AB40="Muy Alta",AD40="Moderado"),AND(AB40="Muy Alta",AD40="Mayor")),"Alto",IF(OR(AND(AB40="Muy Baja",AD40="Catastrófico"),AND(AB40="Baja",AD40="Catastrófico"),AND(AB40="Media",AD40="Catastrófico"),AND(AB40="Alta",AD40="Catastrófico"),AND(AB40="Muy Alta",AD40="Catastrófico")),"Extremo","")))),"")</f>
        <v/>
      </c>
      <c r="AG40" s="131"/>
      <c r="AH40" s="132"/>
      <c r="AI40" s="133"/>
      <c r="AJ40" s="134"/>
      <c r="AK40" s="134"/>
      <c r="AL40" s="132"/>
      <c r="AM40" s="133"/>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row>
    <row r="41" spans="1:71" ht="68.45" customHeight="1" x14ac:dyDescent="0.3">
      <c r="A41" s="242">
        <v>7</v>
      </c>
      <c r="B41" s="201"/>
      <c r="C41" s="201"/>
      <c r="D41" s="201"/>
      <c r="E41" s="137"/>
      <c r="F41" s="201"/>
      <c r="G41" s="245"/>
      <c r="H41" s="245"/>
      <c r="I41" s="201"/>
      <c r="J41" s="248"/>
      <c r="K41" s="207" t="str">
        <f>IF(J41&lt;=0,"",IF(J41&lt;=2,"Muy Baja",IF(J41&lt;=24,"Baja",IF(J41&lt;=500,"Media",IF(J41&lt;=5000,"Alta","Muy Alta")))))</f>
        <v/>
      </c>
      <c r="L41" s="204" t="str">
        <f>IF(K41="","",IF(K41="Muy Baja",0.2,IF(K41="Baja",0.4,IF(K41="Media",0.6,IF(K41="Alta",0.8,IF(K41="Muy Alta",1,))))))</f>
        <v/>
      </c>
      <c r="M41" s="251"/>
      <c r="N41" s="204">
        <f ca="1">IF(NOT(ISERROR(MATCH(M41,'Tabla Impacto'!$B$221:$B$223,0))),'Tabla Impacto'!$F$223&amp;"Por favor no seleccionar los criterios de impacto(Afectación Económica o presupuestal y Pérdida Reputacional)",M41)</f>
        <v>0</v>
      </c>
      <c r="O41" s="207" t="str">
        <f ca="1">IF(OR(N41='Tabla Impacto'!$C$11,N41='Tabla Impacto'!$D$11),"Leve",IF(OR(N41='Tabla Impacto'!$C$12,N41='Tabla Impacto'!$D$12),"Menor",IF(OR(N41='Tabla Impacto'!$C$13,N41='Tabla Impacto'!$D$13),"Moderado",IF(OR(N41='Tabla Impacto'!$C$14,N41='Tabla Impacto'!$D$14),"Mayor",IF(OR(N41='Tabla Impacto'!$C$15,N41='Tabla Impacto'!$D$15),"Catastrófico","")))))</f>
        <v/>
      </c>
      <c r="P41" s="204" t="str">
        <f ca="1">IF(O41="","",IF(O41="Leve",0.2,IF(O41="Menor",0.4,IF(O41="Moderado",0.6,IF(O41="Mayor",0.8,IF(O41="Catastrófico",1,))))))</f>
        <v/>
      </c>
      <c r="Q41" s="210" t="str">
        <f ca="1">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
      </c>
      <c r="R41" s="122">
        <v>1</v>
      </c>
      <c r="S41" s="123"/>
      <c r="T41" s="124" t="str">
        <f t="shared" si="0"/>
        <v/>
      </c>
      <c r="U41" s="125"/>
      <c r="V41" s="125"/>
      <c r="W41" s="126" t="str">
        <f>IF(AND(U41="Preventivo",V41="Automático"),"50%",IF(AND(U41="Preventivo",V41="Manual"),"40%",IF(AND(U41="Detectivo",V41="Automático"),"40%",IF(AND(U41="Detectivo",V41="Manual"),"30%",IF(AND(U41="Correctivo",V41="Automático"),"35%",IF(AND(U41="Correctivo",V41="Manual"),"25%",""))))))</f>
        <v/>
      </c>
      <c r="X41" s="125"/>
      <c r="Y41" s="125"/>
      <c r="Z41" s="125"/>
      <c r="AA41" s="127" t="str">
        <f>IFERROR(IF(T41="Probabilidad",(L41-(+L41*W41)),IF(T41="Impacto",L41,"")),"")</f>
        <v/>
      </c>
      <c r="AB41" s="128" t="str">
        <f>IFERROR(IF(AA41="","",IF(AA41&lt;=0.2,"Muy Baja",IF(AA41&lt;=0.4,"Baja",IF(AA41&lt;=0.6,"Media",IF(AA41&lt;=0.8,"Alta","Muy Alta"))))),"")</f>
        <v/>
      </c>
      <c r="AC41" s="129" t="str">
        <f>+AA41</f>
        <v/>
      </c>
      <c r="AD41" s="128" t="str">
        <f>IFERROR(IF(AE41="","",IF(AE41&lt;=0.2,"Leve",IF(AE41&lt;=0.4,"Menor",IF(AE41&lt;=0.6,"Moderado",IF(AE41&lt;=0.8,"Mayor","Catastrófico"))))),"")</f>
        <v/>
      </c>
      <c r="AE41" s="129" t="str">
        <f>IFERROR(IF(T41="Impacto",(P41-(+P41*W41)),IF(T41="Probabilidad",P41,"")),"")</f>
        <v/>
      </c>
      <c r="AF41" s="130" t="str">
        <f>IFERROR(IF(OR(AND(AB41="Muy Baja",AD41="Leve"),AND(AB41="Muy Baja",AD41="Menor"),AND(AB41="Baja",AD41="Leve")),"Bajo",IF(OR(AND(AB41="Muy baja",AD41="Moderado"),AND(AB41="Baja",AD41="Menor"),AND(AB41="Baja",AD41="Moderado"),AND(AB41="Media",AD41="Leve"),AND(AB41="Media",AD41="Menor"),AND(AB41="Media",AD41="Moderado"),AND(AB41="Alta",AD41="Leve"),AND(AB41="Alta",AD41="Menor")),"Moderado",IF(OR(AND(AB41="Muy Baja",AD41="Mayor"),AND(AB41="Baja",AD41="Mayor"),AND(AB41="Media",AD41="Mayor"),AND(AB41="Alta",AD41="Moderado"),AND(AB41="Alta",AD41="Mayor"),AND(AB41="Muy Alta",AD41="Leve"),AND(AB41="Muy Alta",AD41="Menor"),AND(AB41="Muy Alta",AD41="Moderado"),AND(AB41="Muy Alta",AD41="Mayor")),"Alto",IF(OR(AND(AB41="Muy Baja",AD41="Catastrófico"),AND(AB41="Baja",AD41="Catastrófico"),AND(AB41="Media",AD41="Catastrófico"),AND(AB41="Alta",AD41="Catastrófico"),AND(AB41="Muy Alta",AD41="Catastrófico")),"Extremo","")))),"")</f>
        <v/>
      </c>
      <c r="AG41" s="131"/>
      <c r="AH41" s="132"/>
      <c r="AI41" s="133"/>
      <c r="AJ41" s="134"/>
      <c r="AK41" s="134"/>
      <c r="AL41" s="132"/>
      <c r="AM41" s="133"/>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row>
    <row r="42" spans="1:71" ht="68.45" customHeight="1" x14ac:dyDescent="0.3">
      <c r="A42" s="243"/>
      <c r="B42" s="202"/>
      <c r="C42" s="202"/>
      <c r="D42" s="202"/>
      <c r="E42" s="138"/>
      <c r="F42" s="202"/>
      <c r="G42" s="246"/>
      <c r="H42" s="246"/>
      <c r="I42" s="202"/>
      <c r="J42" s="249"/>
      <c r="K42" s="208"/>
      <c r="L42" s="205"/>
      <c r="M42" s="252"/>
      <c r="N42" s="205">
        <f ca="1">IF(NOT(ISERROR(MATCH(M42,_xlfn.ANCHORARRAY(H53),0))),L55&amp;"Por favor no seleccionar los criterios de impacto",M42)</f>
        <v>0</v>
      </c>
      <c r="O42" s="208"/>
      <c r="P42" s="205"/>
      <c r="Q42" s="211"/>
      <c r="R42" s="122">
        <v>2</v>
      </c>
      <c r="S42" s="123"/>
      <c r="T42" s="124" t="str">
        <f t="shared" si="0"/>
        <v/>
      </c>
      <c r="U42" s="125"/>
      <c r="V42" s="125"/>
      <c r="W42" s="126" t="str">
        <f t="shared" ref="W42:W46" si="32">IF(AND(U42="Preventivo",V42="Automático"),"50%",IF(AND(U42="Preventivo",V42="Manual"),"40%",IF(AND(U42="Detectivo",V42="Automático"),"40%",IF(AND(U42="Detectivo",V42="Manual"),"30%",IF(AND(U42="Correctivo",V42="Automático"),"35%",IF(AND(U42="Correctivo",V42="Manual"),"25%",""))))))</f>
        <v/>
      </c>
      <c r="X42" s="125"/>
      <c r="Y42" s="125"/>
      <c r="Z42" s="125"/>
      <c r="AA42" s="127" t="str">
        <f>IFERROR(IF(AND(T41="Probabilidad",T42="Probabilidad"),(AC41-(+AC41*W42)),IF(T42="Probabilidad",(L41-(+L41*W42)),IF(T42="Impacto",AC41,""))),"")</f>
        <v/>
      </c>
      <c r="AB42" s="128" t="str">
        <f t="shared" si="2"/>
        <v/>
      </c>
      <c r="AC42" s="129" t="str">
        <f t="shared" ref="AC42:AC46" si="33">+AA42</f>
        <v/>
      </c>
      <c r="AD42" s="128" t="str">
        <f t="shared" si="4"/>
        <v/>
      </c>
      <c r="AE42" s="129" t="str">
        <f>IFERROR(IF(AND(T41="Impacto",T42="Impacto"),(AE41-(+AE41*W42)),IF(T42="Impacto",(P41-(+P41*W42)),IF(T42="Probabilidad",AE41,""))),"")</f>
        <v/>
      </c>
      <c r="AF42" s="130" t="str">
        <f t="shared" ref="AF42:AF43" si="34">IFERROR(IF(OR(AND(AB42="Muy Baja",AD42="Leve"),AND(AB42="Muy Baja",AD42="Menor"),AND(AB42="Baja",AD42="Leve")),"Bajo",IF(OR(AND(AB42="Muy baja",AD42="Moderado"),AND(AB42="Baja",AD42="Menor"),AND(AB42="Baja",AD42="Moderado"),AND(AB42="Media",AD42="Leve"),AND(AB42="Media",AD42="Menor"),AND(AB42="Media",AD42="Moderado"),AND(AB42="Alta",AD42="Leve"),AND(AB42="Alta",AD42="Menor")),"Moderado",IF(OR(AND(AB42="Muy Baja",AD42="Mayor"),AND(AB42="Baja",AD42="Mayor"),AND(AB42="Media",AD42="Mayor"),AND(AB42="Alta",AD42="Moderado"),AND(AB42="Alta",AD42="Mayor"),AND(AB42="Muy Alta",AD42="Leve"),AND(AB42="Muy Alta",AD42="Menor"),AND(AB42="Muy Alta",AD42="Moderado"),AND(AB42="Muy Alta",AD42="Mayor")),"Alto",IF(OR(AND(AB42="Muy Baja",AD42="Catastrófico"),AND(AB42="Baja",AD42="Catastrófico"),AND(AB42="Media",AD42="Catastrófico"),AND(AB42="Alta",AD42="Catastrófico"),AND(AB42="Muy Alta",AD42="Catastrófico")),"Extremo","")))),"")</f>
        <v/>
      </c>
      <c r="AG42" s="131"/>
      <c r="AH42" s="132"/>
      <c r="AI42" s="133"/>
      <c r="AJ42" s="134"/>
      <c r="AK42" s="134"/>
      <c r="AL42" s="132"/>
      <c r="AM42" s="133"/>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row>
    <row r="43" spans="1:71" ht="68.45" customHeight="1" x14ac:dyDescent="0.3">
      <c r="A43" s="243"/>
      <c r="B43" s="202"/>
      <c r="C43" s="202"/>
      <c r="D43" s="202"/>
      <c r="E43" s="138"/>
      <c r="F43" s="202"/>
      <c r="G43" s="246"/>
      <c r="H43" s="246"/>
      <c r="I43" s="202"/>
      <c r="J43" s="249"/>
      <c r="K43" s="208"/>
      <c r="L43" s="205"/>
      <c r="M43" s="252"/>
      <c r="N43" s="205">
        <f ca="1">IF(NOT(ISERROR(MATCH(M43,_xlfn.ANCHORARRAY(H54),0))),L56&amp;"Por favor no seleccionar los criterios de impacto",M43)</f>
        <v>0</v>
      </c>
      <c r="O43" s="208"/>
      <c r="P43" s="205"/>
      <c r="Q43" s="211"/>
      <c r="R43" s="122">
        <v>3</v>
      </c>
      <c r="S43" s="135"/>
      <c r="T43" s="124" t="str">
        <f t="shared" si="0"/>
        <v/>
      </c>
      <c r="U43" s="125"/>
      <c r="V43" s="125"/>
      <c r="W43" s="126" t="str">
        <f t="shared" si="32"/>
        <v/>
      </c>
      <c r="X43" s="125"/>
      <c r="Y43" s="125"/>
      <c r="Z43" s="125"/>
      <c r="AA43" s="127" t="str">
        <f>IFERROR(IF(AND(T42="Probabilidad",T43="Probabilidad"),(AC42-(+AC42*W43)),IF(AND(T42="Impacto",T43="Probabilidad"),(AC41-(+AC41*W43)),IF(T43="Impacto",AC42,""))),"")</f>
        <v/>
      </c>
      <c r="AB43" s="128" t="str">
        <f t="shared" si="2"/>
        <v/>
      </c>
      <c r="AC43" s="129" t="str">
        <f t="shared" si="33"/>
        <v/>
      </c>
      <c r="AD43" s="128" t="str">
        <f t="shared" si="4"/>
        <v/>
      </c>
      <c r="AE43" s="129" t="str">
        <f>IFERROR(IF(AND(T42="Impacto",T43="Impacto"),(AE42-(+AE42*W43)),IF(AND(T42="Probabilidad",T43="Impacto"),(AE41-(+AE41*W43)),IF(T43="Probabilidad",AE42,""))),"")</f>
        <v/>
      </c>
      <c r="AF43" s="130" t="str">
        <f t="shared" si="34"/>
        <v/>
      </c>
      <c r="AG43" s="131"/>
      <c r="AH43" s="132"/>
      <c r="AI43" s="133"/>
      <c r="AJ43" s="134"/>
      <c r="AK43" s="134"/>
      <c r="AL43" s="132"/>
      <c r="AM43" s="133"/>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row>
    <row r="44" spans="1:71" ht="68.45" customHeight="1" x14ac:dyDescent="0.3">
      <c r="A44" s="243"/>
      <c r="B44" s="202"/>
      <c r="C44" s="202"/>
      <c r="D44" s="202"/>
      <c r="E44" s="138"/>
      <c r="F44" s="202"/>
      <c r="G44" s="246"/>
      <c r="H44" s="246"/>
      <c r="I44" s="202"/>
      <c r="J44" s="249"/>
      <c r="K44" s="208"/>
      <c r="L44" s="205"/>
      <c r="M44" s="252"/>
      <c r="N44" s="205">
        <f ca="1">IF(NOT(ISERROR(MATCH(M44,_xlfn.ANCHORARRAY(H55),0))),L57&amp;"Por favor no seleccionar los criterios de impacto",M44)</f>
        <v>0</v>
      </c>
      <c r="O44" s="208"/>
      <c r="P44" s="205"/>
      <c r="Q44" s="211"/>
      <c r="R44" s="122">
        <v>4</v>
      </c>
      <c r="S44" s="123"/>
      <c r="T44" s="124" t="str">
        <f t="shared" si="0"/>
        <v/>
      </c>
      <c r="U44" s="125"/>
      <c r="V44" s="125"/>
      <c r="W44" s="126" t="str">
        <f t="shared" si="32"/>
        <v/>
      </c>
      <c r="X44" s="125"/>
      <c r="Y44" s="125"/>
      <c r="Z44" s="125"/>
      <c r="AA44" s="127" t="str">
        <f t="shared" ref="AA44:AA46" si="35">IFERROR(IF(AND(T43="Probabilidad",T44="Probabilidad"),(AC43-(+AC43*W44)),IF(AND(T43="Impacto",T44="Probabilidad"),(AC42-(+AC42*W44)),IF(T44="Impacto",AC43,""))),"")</f>
        <v/>
      </c>
      <c r="AB44" s="128" t="str">
        <f t="shared" si="2"/>
        <v/>
      </c>
      <c r="AC44" s="129" t="str">
        <f t="shared" si="33"/>
        <v/>
      </c>
      <c r="AD44" s="128" t="str">
        <f t="shared" si="4"/>
        <v/>
      </c>
      <c r="AE44" s="129" t="str">
        <f t="shared" ref="AE44:AE46" si="36">IFERROR(IF(AND(T43="Impacto",T44="Impacto"),(AE43-(+AE43*W44)),IF(AND(T43="Probabilidad",T44="Impacto"),(AE42-(+AE42*W44)),IF(T44="Probabilidad",AE43,""))),"")</f>
        <v/>
      </c>
      <c r="AF44" s="130" t="str">
        <f>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
      </c>
      <c r="AG44" s="131"/>
      <c r="AH44" s="132"/>
      <c r="AI44" s="133"/>
      <c r="AJ44" s="134"/>
      <c r="AK44" s="134"/>
      <c r="AL44" s="132"/>
      <c r="AM44" s="133"/>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row>
    <row r="45" spans="1:71" ht="68.45" customHeight="1" x14ac:dyDescent="0.3">
      <c r="A45" s="243"/>
      <c r="B45" s="202"/>
      <c r="C45" s="202"/>
      <c r="D45" s="202"/>
      <c r="E45" s="138"/>
      <c r="F45" s="202"/>
      <c r="G45" s="246"/>
      <c r="H45" s="246"/>
      <c r="I45" s="202"/>
      <c r="J45" s="249"/>
      <c r="K45" s="208"/>
      <c r="L45" s="205"/>
      <c r="M45" s="252"/>
      <c r="N45" s="205">
        <f ca="1">IF(NOT(ISERROR(MATCH(M45,_xlfn.ANCHORARRAY(H56),0))),L58&amp;"Por favor no seleccionar los criterios de impacto",M45)</f>
        <v>0</v>
      </c>
      <c r="O45" s="208"/>
      <c r="P45" s="205"/>
      <c r="Q45" s="211"/>
      <c r="R45" s="122">
        <v>5</v>
      </c>
      <c r="S45" s="123"/>
      <c r="T45" s="124" t="str">
        <f t="shared" si="0"/>
        <v/>
      </c>
      <c r="U45" s="125"/>
      <c r="V45" s="125"/>
      <c r="W45" s="126" t="str">
        <f t="shared" si="32"/>
        <v/>
      </c>
      <c r="X45" s="125"/>
      <c r="Y45" s="125"/>
      <c r="Z45" s="125"/>
      <c r="AA45" s="127" t="str">
        <f t="shared" si="35"/>
        <v/>
      </c>
      <c r="AB45" s="128" t="str">
        <f t="shared" si="2"/>
        <v/>
      </c>
      <c r="AC45" s="129" t="str">
        <f t="shared" si="33"/>
        <v/>
      </c>
      <c r="AD45" s="128" t="str">
        <f t="shared" si="4"/>
        <v/>
      </c>
      <c r="AE45" s="129" t="str">
        <f t="shared" si="36"/>
        <v/>
      </c>
      <c r="AF45" s="130" t="str">
        <f t="shared" ref="AF45:AF46" si="37">IFERROR(IF(OR(AND(AB45="Muy Baja",AD45="Leve"),AND(AB45="Muy Baja",AD45="Menor"),AND(AB45="Baja",AD45="Leve")),"Bajo",IF(OR(AND(AB45="Muy baja",AD45="Moderado"),AND(AB45="Baja",AD45="Menor"),AND(AB45="Baja",AD45="Moderado"),AND(AB45="Media",AD45="Leve"),AND(AB45="Media",AD45="Menor"),AND(AB45="Media",AD45="Moderado"),AND(AB45="Alta",AD45="Leve"),AND(AB45="Alta",AD45="Menor")),"Moderado",IF(OR(AND(AB45="Muy Baja",AD45="Mayor"),AND(AB45="Baja",AD45="Mayor"),AND(AB45="Media",AD45="Mayor"),AND(AB45="Alta",AD45="Moderado"),AND(AB45="Alta",AD45="Mayor"),AND(AB45="Muy Alta",AD45="Leve"),AND(AB45="Muy Alta",AD45="Menor"),AND(AB45="Muy Alta",AD45="Moderado"),AND(AB45="Muy Alta",AD45="Mayor")),"Alto",IF(OR(AND(AB45="Muy Baja",AD45="Catastrófico"),AND(AB45="Baja",AD45="Catastrófico"),AND(AB45="Media",AD45="Catastrófico"),AND(AB45="Alta",AD45="Catastrófico"),AND(AB45="Muy Alta",AD45="Catastrófico")),"Extremo","")))),"")</f>
        <v/>
      </c>
      <c r="AG45" s="131"/>
      <c r="AH45" s="132"/>
      <c r="AI45" s="133"/>
      <c r="AJ45" s="134"/>
      <c r="AK45" s="134"/>
      <c r="AL45" s="132"/>
      <c r="AM45" s="133"/>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row>
    <row r="46" spans="1:71" ht="68.45" customHeight="1" x14ac:dyDescent="0.3">
      <c r="A46" s="244"/>
      <c r="B46" s="203"/>
      <c r="C46" s="203"/>
      <c r="D46" s="203"/>
      <c r="E46" s="139"/>
      <c r="F46" s="203"/>
      <c r="G46" s="247"/>
      <c r="H46" s="247"/>
      <c r="I46" s="203"/>
      <c r="J46" s="250"/>
      <c r="K46" s="209"/>
      <c r="L46" s="206"/>
      <c r="M46" s="253"/>
      <c r="N46" s="206">
        <f ca="1">IF(NOT(ISERROR(MATCH(M46,_xlfn.ANCHORARRAY(H57),0))),L59&amp;"Por favor no seleccionar los criterios de impacto",M46)</f>
        <v>0</v>
      </c>
      <c r="O46" s="209"/>
      <c r="P46" s="206"/>
      <c r="Q46" s="212"/>
      <c r="R46" s="122">
        <v>6</v>
      </c>
      <c r="S46" s="123"/>
      <c r="T46" s="124" t="str">
        <f t="shared" si="0"/>
        <v/>
      </c>
      <c r="U46" s="125"/>
      <c r="V46" s="125"/>
      <c r="W46" s="126" t="str">
        <f t="shared" si="32"/>
        <v/>
      </c>
      <c r="X46" s="125"/>
      <c r="Y46" s="125"/>
      <c r="Z46" s="125"/>
      <c r="AA46" s="127" t="str">
        <f t="shared" si="35"/>
        <v/>
      </c>
      <c r="AB46" s="128" t="str">
        <f t="shared" si="2"/>
        <v/>
      </c>
      <c r="AC46" s="129" t="str">
        <f t="shared" si="33"/>
        <v/>
      </c>
      <c r="AD46" s="128" t="str">
        <f t="shared" si="4"/>
        <v/>
      </c>
      <c r="AE46" s="129" t="str">
        <f t="shared" si="36"/>
        <v/>
      </c>
      <c r="AF46" s="130" t="str">
        <f t="shared" si="37"/>
        <v/>
      </c>
      <c r="AG46" s="131"/>
      <c r="AH46" s="132"/>
      <c r="AI46" s="133"/>
      <c r="AJ46" s="134"/>
      <c r="AK46" s="134"/>
      <c r="AL46" s="132"/>
      <c r="AM46" s="133"/>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row>
    <row r="47" spans="1:71" ht="68.45" customHeight="1" x14ac:dyDescent="0.3">
      <c r="A47" s="242">
        <v>8</v>
      </c>
      <c r="B47" s="201"/>
      <c r="C47" s="201"/>
      <c r="D47" s="201"/>
      <c r="E47" s="137"/>
      <c r="F47" s="201"/>
      <c r="G47" s="245"/>
      <c r="H47" s="245"/>
      <c r="I47" s="201"/>
      <c r="J47" s="248"/>
      <c r="K47" s="207" t="str">
        <f>IF(J47&lt;=0,"",IF(J47&lt;=2,"Muy Baja",IF(J47&lt;=24,"Baja",IF(J47&lt;=500,"Media",IF(J47&lt;=5000,"Alta","Muy Alta")))))</f>
        <v/>
      </c>
      <c r="L47" s="204" t="str">
        <f>IF(K47="","",IF(K47="Muy Baja",0.2,IF(K47="Baja",0.4,IF(K47="Media",0.6,IF(K47="Alta",0.8,IF(K47="Muy Alta",1,))))))</f>
        <v/>
      </c>
      <c r="M47" s="251"/>
      <c r="N47" s="204">
        <f ca="1">IF(NOT(ISERROR(MATCH(M47,'Tabla Impacto'!$B$221:$B$223,0))),'Tabla Impacto'!$F$223&amp;"Por favor no seleccionar los criterios de impacto(Afectación Económica o presupuestal y Pérdida Reputacional)",M47)</f>
        <v>0</v>
      </c>
      <c r="O47" s="207" t="str">
        <f ca="1">IF(OR(N47='Tabla Impacto'!$C$11,N47='Tabla Impacto'!$D$11),"Leve",IF(OR(N47='Tabla Impacto'!$C$12,N47='Tabla Impacto'!$D$12),"Menor",IF(OR(N47='Tabla Impacto'!$C$13,N47='Tabla Impacto'!$D$13),"Moderado",IF(OR(N47='Tabla Impacto'!$C$14,N47='Tabla Impacto'!$D$14),"Mayor",IF(OR(N47='Tabla Impacto'!$C$15,N47='Tabla Impacto'!$D$15),"Catastrófico","")))))</f>
        <v/>
      </c>
      <c r="P47" s="204" t="str">
        <f ca="1">IF(O47="","",IF(O47="Leve",0.2,IF(O47="Menor",0.4,IF(O47="Moderado",0.6,IF(O47="Mayor",0.8,IF(O47="Catastrófico",1,))))))</f>
        <v/>
      </c>
      <c r="Q47" s="210" t="str">
        <f ca="1">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
      </c>
      <c r="R47" s="122">
        <v>1</v>
      </c>
      <c r="S47" s="123"/>
      <c r="T47" s="124" t="str">
        <f t="shared" si="0"/>
        <v/>
      </c>
      <c r="U47" s="125"/>
      <c r="V47" s="125"/>
      <c r="W47" s="126" t="str">
        <f>IF(AND(U47="Preventivo",V47="Automático"),"50%",IF(AND(U47="Preventivo",V47="Manual"),"40%",IF(AND(U47="Detectivo",V47="Automático"),"40%",IF(AND(U47="Detectivo",V47="Manual"),"30%",IF(AND(U47="Correctivo",V47="Automático"),"35%",IF(AND(U47="Correctivo",V47="Manual"),"25%",""))))))</f>
        <v/>
      </c>
      <c r="X47" s="125"/>
      <c r="Y47" s="125"/>
      <c r="Z47" s="125"/>
      <c r="AA47" s="127" t="str">
        <f>IFERROR(IF(T47="Probabilidad",(L47-(+L47*W47)),IF(T47="Impacto",L47,"")),"")</f>
        <v/>
      </c>
      <c r="AB47" s="128" t="str">
        <f>IFERROR(IF(AA47="","",IF(AA47&lt;=0.2,"Muy Baja",IF(AA47&lt;=0.4,"Baja",IF(AA47&lt;=0.6,"Media",IF(AA47&lt;=0.8,"Alta","Muy Alta"))))),"")</f>
        <v/>
      </c>
      <c r="AC47" s="129" t="str">
        <f>+AA47</f>
        <v/>
      </c>
      <c r="AD47" s="128" t="str">
        <f>IFERROR(IF(AE47="","",IF(AE47&lt;=0.2,"Leve",IF(AE47&lt;=0.4,"Menor",IF(AE47&lt;=0.6,"Moderado",IF(AE47&lt;=0.8,"Mayor","Catastrófico"))))),"")</f>
        <v/>
      </c>
      <c r="AE47" s="129" t="str">
        <f>IFERROR(IF(T47="Impacto",(P47-(+P47*W47)),IF(T47="Probabilidad",P47,"")),"")</f>
        <v/>
      </c>
      <c r="AF47" s="130" t="str">
        <f>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31"/>
      <c r="AH47" s="132"/>
      <c r="AI47" s="133"/>
      <c r="AJ47" s="134"/>
      <c r="AK47" s="134"/>
      <c r="AL47" s="132"/>
      <c r="AM47" s="133"/>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71" ht="68.45" customHeight="1" x14ac:dyDescent="0.3">
      <c r="A48" s="243"/>
      <c r="B48" s="202"/>
      <c r="C48" s="202"/>
      <c r="D48" s="202"/>
      <c r="E48" s="138"/>
      <c r="F48" s="202"/>
      <c r="G48" s="246"/>
      <c r="H48" s="246"/>
      <c r="I48" s="202"/>
      <c r="J48" s="249"/>
      <c r="K48" s="208"/>
      <c r="L48" s="205"/>
      <c r="M48" s="252"/>
      <c r="N48" s="205">
        <f ca="1">IF(NOT(ISERROR(MATCH(M48,_xlfn.ANCHORARRAY(H59),0))),L61&amp;"Por favor no seleccionar los criterios de impacto",M48)</f>
        <v>0</v>
      </c>
      <c r="O48" s="208"/>
      <c r="P48" s="205"/>
      <c r="Q48" s="211"/>
      <c r="R48" s="122">
        <v>2</v>
      </c>
      <c r="S48" s="123"/>
      <c r="T48" s="124" t="str">
        <f t="shared" si="0"/>
        <v/>
      </c>
      <c r="U48" s="125"/>
      <c r="V48" s="125"/>
      <c r="W48" s="126" t="str">
        <f t="shared" ref="W48:W52" si="38">IF(AND(U48="Preventivo",V48="Automático"),"50%",IF(AND(U48="Preventivo",V48="Manual"),"40%",IF(AND(U48="Detectivo",V48="Automático"),"40%",IF(AND(U48="Detectivo",V48="Manual"),"30%",IF(AND(U48="Correctivo",V48="Automático"),"35%",IF(AND(U48="Correctivo",V48="Manual"),"25%",""))))))</f>
        <v/>
      </c>
      <c r="X48" s="125"/>
      <c r="Y48" s="125"/>
      <c r="Z48" s="125"/>
      <c r="AA48" s="127" t="str">
        <f>IFERROR(IF(AND(T47="Probabilidad",T48="Probabilidad"),(AC47-(+AC47*W48)),IF(T48="Probabilidad",(L47-(+L47*W48)),IF(T48="Impacto",AC47,""))),"")</f>
        <v/>
      </c>
      <c r="AB48" s="128" t="str">
        <f t="shared" si="2"/>
        <v/>
      </c>
      <c r="AC48" s="129" t="str">
        <f t="shared" ref="AC48:AC52" si="39">+AA48</f>
        <v/>
      </c>
      <c r="AD48" s="128" t="str">
        <f t="shared" si="4"/>
        <v/>
      </c>
      <c r="AE48" s="129" t="str">
        <f>IFERROR(IF(AND(T47="Impacto",T48="Impacto"),(AE47-(+AE47*W48)),IF(T48="Impacto",(P47-(+P47*W48)),IF(T48="Probabilidad",AE47,""))),"")</f>
        <v/>
      </c>
      <c r="AF48" s="130" t="str">
        <f t="shared" ref="AF48:AF49" si="40">IFERROR(IF(OR(AND(AB48="Muy Baja",AD48="Leve"),AND(AB48="Muy Baja",AD48="Menor"),AND(AB48="Baja",AD48="Leve")),"Bajo",IF(OR(AND(AB48="Muy baja",AD48="Moderado"),AND(AB48="Baja",AD48="Menor"),AND(AB48="Baja",AD48="Moderado"),AND(AB48="Media",AD48="Leve"),AND(AB48="Media",AD48="Menor"),AND(AB48="Media",AD48="Moderado"),AND(AB48="Alta",AD48="Leve"),AND(AB48="Alta",AD48="Menor")),"Moderado",IF(OR(AND(AB48="Muy Baja",AD48="Mayor"),AND(AB48="Baja",AD48="Mayor"),AND(AB48="Media",AD48="Mayor"),AND(AB48="Alta",AD48="Moderado"),AND(AB48="Alta",AD48="Mayor"),AND(AB48="Muy Alta",AD48="Leve"),AND(AB48="Muy Alta",AD48="Menor"),AND(AB48="Muy Alta",AD48="Moderado"),AND(AB48="Muy Alta",AD48="Mayor")),"Alto",IF(OR(AND(AB48="Muy Baja",AD48="Catastrófico"),AND(AB48="Baja",AD48="Catastrófico"),AND(AB48="Media",AD48="Catastrófico"),AND(AB48="Alta",AD48="Catastrófico"),AND(AB48="Muy Alta",AD48="Catastrófico")),"Extremo","")))),"")</f>
        <v/>
      </c>
      <c r="AG48" s="131"/>
      <c r="AH48" s="132"/>
      <c r="AI48" s="133"/>
      <c r="AJ48" s="134"/>
      <c r="AK48" s="134"/>
      <c r="AL48" s="132"/>
      <c r="AM48" s="133"/>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row>
    <row r="49" spans="1:71" ht="68.45" customHeight="1" x14ac:dyDescent="0.3">
      <c r="A49" s="243"/>
      <c r="B49" s="202"/>
      <c r="C49" s="202"/>
      <c r="D49" s="202"/>
      <c r="E49" s="138"/>
      <c r="F49" s="202"/>
      <c r="G49" s="246"/>
      <c r="H49" s="246"/>
      <c r="I49" s="202"/>
      <c r="J49" s="249"/>
      <c r="K49" s="208"/>
      <c r="L49" s="205"/>
      <c r="M49" s="252"/>
      <c r="N49" s="205">
        <f ca="1">IF(NOT(ISERROR(MATCH(M49,_xlfn.ANCHORARRAY(H60),0))),L62&amp;"Por favor no seleccionar los criterios de impacto",M49)</f>
        <v>0</v>
      </c>
      <c r="O49" s="208"/>
      <c r="P49" s="205"/>
      <c r="Q49" s="211"/>
      <c r="R49" s="122">
        <v>3</v>
      </c>
      <c r="S49" s="135"/>
      <c r="T49" s="124" t="str">
        <f t="shared" si="0"/>
        <v/>
      </c>
      <c r="U49" s="125"/>
      <c r="V49" s="125"/>
      <c r="W49" s="126" t="str">
        <f t="shared" si="38"/>
        <v/>
      </c>
      <c r="X49" s="125"/>
      <c r="Y49" s="125"/>
      <c r="Z49" s="125"/>
      <c r="AA49" s="127" t="str">
        <f>IFERROR(IF(AND(T48="Probabilidad",T49="Probabilidad"),(AC48-(+AC48*W49)),IF(AND(T48="Impacto",T49="Probabilidad"),(AC47-(+AC47*W49)),IF(T49="Impacto",AC48,""))),"")</f>
        <v/>
      </c>
      <c r="AB49" s="128" t="str">
        <f t="shared" si="2"/>
        <v/>
      </c>
      <c r="AC49" s="129" t="str">
        <f t="shared" si="39"/>
        <v/>
      </c>
      <c r="AD49" s="128" t="str">
        <f t="shared" si="4"/>
        <v/>
      </c>
      <c r="AE49" s="129" t="str">
        <f>IFERROR(IF(AND(T48="Impacto",T49="Impacto"),(AE48-(+AE48*W49)),IF(AND(T48="Probabilidad",T49="Impacto"),(AE47-(+AE47*W49)),IF(T49="Probabilidad",AE48,""))),"")</f>
        <v/>
      </c>
      <c r="AF49" s="130" t="str">
        <f t="shared" si="40"/>
        <v/>
      </c>
      <c r="AG49" s="131"/>
      <c r="AH49" s="132"/>
      <c r="AI49" s="133"/>
      <c r="AJ49" s="134"/>
      <c r="AK49" s="134"/>
      <c r="AL49" s="132"/>
      <c r="AM49" s="133"/>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row>
    <row r="50" spans="1:71" ht="68.45" customHeight="1" x14ac:dyDescent="0.3">
      <c r="A50" s="243"/>
      <c r="B50" s="202"/>
      <c r="C50" s="202"/>
      <c r="D50" s="202"/>
      <c r="E50" s="138"/>
      <c r="F50" s="202"/>
      <c r="G50" s="246"/>
      <c r="H50" s="246"/>
      <c r="I50" s="202"/>
      <c r="J50" s="249"/>
      <c r="K50" s="208"/>
      <c r="L50" s="205"/>
      <c r="M50" s="252"/>
      <c r="N50" s="205">
        <f ca="1">IF(NOT(ISERROR(MATCH(M50,_xlfn.ANCHORARRAY(H61),0))),L63&amp;"Por favor no seleccionar los criterios de impacto",M50)</f>
        <v>0</v>
      </c>
      <c r="O50" s="208"/>
      <c r="P50" s="205"/>
      <c r="Q50" s="211"/>
      <c r="R50" s="122">
        <v>4</v>
      </c>
      <c r="S50" s="123"/>
      <c r="T50" s="124" t="str">
        <f t="shared" si="0"/>
        <v/>
      </c>
      <c r="U50" s="125"/>
      <c r="V50" s="125"/>
      <c r="W50" s="126" t="str">
        <f t="shared" si="38"/>
        <v/>
      </c>
      <c r="X50" s="125"/>
      <c r="Y50" s="125"/>
      <c r="Z50" s="125"/>
      <c r="AA50" s="127" t="str">
        <f t="shared" ref="AA50:AA52" si="41">IFERROR(IF(AND(T49="Probabilidad",T50="Probabilidad"),(AC49-(+AC49*W50)),IF(AND(T49="Impacto",T50="Probabilidad"),(AC48-(+AC48*W50)),IF(T50="Impacto",AC49,""))),"")</f>
        <v/>
      </c>
      <c r="AB50" s="128" t="str">
        <f t="shared" si="2"/>
        <v/>
      </c>
      <c r="AC50" s="129" t="str">
        <f t="shared" si="39"/>
        <v/>
      </c>
      <c r="AD50" s="128" t="str">
        <f t="shared" si="4"/>
        <v/>
      </c>
      <c r="AE50" s="129" t="str">
        <f t="shared" ref="AE50:AE52" si="42">IFERROR(IF(AND(T49="Impacto",T50="Impacto"),(AE49-(+AE49*W50)),IF(AND(T49="Probabilidad",T50="Impacto"),(AE48-(+AE48*W50)),IF(T50="Probabilidad",AE49,""))),"")</f>
        <v/>
      </c>
      <c r="AF50" s="130" t="str">
        <f>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1"/>
      <c r="AH50" s="132"/>
      <c r="AI50" s="133"/>
      <c r="AJ50" s="134"/>
      <c r="AK50" s="134"/>
      <c r="AL50" s="132"/>
      <c r="AM50" s="133"/>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row>
    <row r="51" spans="1:71" ht="68.45" customHeight="1" x14ac:dyDescent="0.3">
      <c r="A51" s="243"/>
      <c r="B51" s="202"/>
      <c r="C51" s="202"/>
      <c r="D51" s="202"/>
      <c r="E51" s="138"/>
      <c r="F51" s="202"/>
      <c r="G51" s="246"/>
      <c r="H51" s="246"/>
      <c r="I51" s="202"/>
      <c r="J51" s="249"/>
      <c r="K51" s="208"/>
      <c r="L51" s="205"/>
      <c r="M51" s="252"/>
      <c r="N51" s="205">
        <f ca="1">IF(NOT(ISERROR(MATCH(M51,_xlfn.ANCHORARRAY(H62),0))),L64&amp;"Por favor no seleccionar los criterios de impacto",M51)</f>
        <v>0</v>
      </c>
      <c r="O51" s="208"/>
      <c r="P51" s="205"/>
      <c r="Q51" s="211"/>
      <c r="R51" s="122">
        <v>5</v>
      </c>
      <c r="S51" s="123"/>
      <c r="T51" s="124" t="str">
        <f t="shared" si="0"/>
        <v/>
      </c>
      <c r="U51" s="125"/>
      <c r="V51" s="125"/>
      <c r="W51" s="126" t="str">
        <f t="shared" si="38"/>
        <v/>
      </c>
      <c r="X51" s="125"/>
      <c r="Y51" s="125"/>
      <c r="Z51" s="125"/>
      <c r="AA51" s="127" t="str">
        <f t="shared" si="41"/>
        <v/>
      </c>
      <c r="AB51" s="128" t="str">
        <f t="shared" si="2"/>
        <v/>
      </c>
      <c r="AC51" s="129" t="str">
        <f t="shared" si="39"/>
        <v/>
      </c>
      <c r="AD51" s="128" t="str">
        <f t="shared" si="4"/>
        <v/>
      </c>
      <c r="AE51" s="129" t="str">
        <f t="shared" si="42"/>
        <v/>
      </c>
      <c r="AF51" s="130" t="str">
        <f t="shared" ref="AF51:AF52" si="43">IFERROR(IF(OR(AND(AB51="Muy Baja",AD51="Leve"),AND(AB51="Muy Baja",AD51="Menor"),AND(AB51="Baja",AD51="Leve")),"Bajo",IF(OR(AND(AB51="Muy baja",AD51="Moderado"),AND(AB51="Baja",AD51="Menor"),AND(AB51="Baja",AD51="Moderado"),AND(AB51="Media",AD51="Leve"),AND(AB51="Media",AD51="Menor"),AND(AB51="Media",AD51="Moderado"),AND(AB51="Alta",AD51="Leve"),AND(AB51="Alta",AD51="Menor")),"Moderado",IF(OR(AND(AB51="Muy Baja",AD51="Mayor"),AND(AB51="Baja",AD51="Mayor"),AND(AB51="Media",AD51="Mayor"),AND(AB51="Alta",AD51="Moderado"),AND(AB51="Alta",AD51="Mayor"),AND(AB51="Muy Alta",AD51="Leve"),AND(AB51="Muy Alta",AD51="Menor"),AND(AB51="Muy Alta",AD51="Moderado"),AND(AB51="Muy Alta",AD51="Mayor")),"Alto",IF(OR(AND(AB51="Muy Baja",AD51="Catastrófico"),AND(AB51="Baja",AD51="Catastrófico"),AND(AB51="Media",AD51="Catastrófico"),AND(AB51="Alta",AD51="Catastrófico"),AND(AB51="Muy Alta",AD51="Catastrófico")),"Extremo","")))),"")</f>
        <v/>
      </c>
      <c r="AG51" s="131"/>
      <c r="AH51" s="132"/>
      <c r="AI51" s="133"/>
      <c r="AJ51" s="134"/>
      <c r="AK51" s="134"/>
      <c r="AL51" s="132"/>
      <c r="AM51" s="133"/>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row>
    <row r="52" spans="1:71" ht="68.45" customHeight="1" x14ac:dyDescent="0.3">
      <c r="A52" s="244"/>
      <c r="B52" s="203"/>
      <c r="C52" s="203"/>
      <c r="D52" s="203"/>
      <c r="E52" s="139"/>
      <c r="F52" s="203"/>
      <c r="G52" s="247"/>
      <c r="H52" s="247"/>
      <c r="I52" s="203"/>
      <c r="J52" s="250"/>
      <c r="K52" s="209"/>
      <c r="L52" s="206"/>
      <c r="M52" s="253"/>
      <c r="N52" s="206">
        <f ca="1">IF(NOT(ISERROR(MATCH(M52,_xlfn.ANCHORARRAY(H63),0))),L65&amp;"Por favor no seleccionar los criterios de impacto",M52)</f>
        <v>0</v>
      </c>
      <c r="O52" s="209"/>
      <c r="P52" s="206"/>
      <c r="Q52" s="212"/>
      <c r="R52" s="122">
        <v>6</v>
      </c>
      <c r="S52" s="123"/>
      <c r="T52" s="124" t="str">
        <f t="shared" si="0"/>
        <v/>
      </c>
      <c r="U52" s="125"/>
      <c r="V52" s="125"/>
      <c r="W52" s="126" t="str">
        <f t="shared" si="38"/>
        <v/>
      </c>
      <c r="X52" s="125"/>
      <c r="Y52" s="125"/>
      <c r="Z52" s="125"/>
      <c r="AA52" s="127" t="str">
        <f t="shared" si="41"/>
        <v/>
      </c>
      <c r="AB52" s="128" t="str">
        <f t="shared" si="2"/>
        <v/>
      </c>
      <c r="AC52" s="129" t="str">
        <f t="shared" si="39"/>
        <v/>
      </c>
      <c r="AD52" s="128" t="str">
        <f t="shared" si="4"/>
        <v/>
      </c>
      <c r="AE52" s="129" t="str">
        <f t="shared" si="42"/>
        <v/>
      </c>
      <c r="AF52" s="130" t="str">
        <f t="shared" si="43"/>
        <v/>
      </c>
      <c r="AG52" s="131"/>
      <c r="AH52" s="132"/>
      <c r="AI52" s="133"/>
      <c r="AJ52" s="134"/>
      <c r="AK52" s="134"/>
      <c r="AL52" s="132"/>
      <c r="AM52" s="133"/>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row>
    <row r="53" spans="1:71" ht="68.45" customHeight="1" x14ac:dyDescent="0.3">
      <c r="A53" s="242">
        <v>9</v>
      </c>
      <c r="B53" s="201"/>
      <c r="C53" s="201"/>
      <c r="D53" s="201"/>
      <c r="E53" s="137"/>
      <c r="F53" s="201"/>
      <c r="G53" s="245"/>
      <c r="H53" s="245"/>
      <c r="I53" s="201"/>
      <c r="J53" s="248"/>
      <c r="K53" s="207" t="str">
        <f>IF(J53&lt;=0,"",IF(J53&lt;=2,"Muy Baja",IF(J53&lt;=24,"Baja",IF(J53&lt;=500,"Media",IF(J53&lt;=5000,"Alta","Muy Alta")))))</f>
        <v/>
      </c>
      <c r="L53" s="204" t="str">
        <f>IF(K53="","",IF(K53="Muy Baja",0.2,IF(K53="Baja",0.4,IF(K53="Media",0.6,IF(K53="Alta",0.8,IF(K53="Muy Alta",1,))))))</f>
        <v/>
      </c>
      <c r="M53" s="251"/>
      <c r="N53" s="204">
        <f ca="1">IF(NOT(ISERROR(MATCH(M53,'Tabla Impacto'!$B$221:$B$223,0))),'Tabla Impacto'!$F$223&amp;"Por favor no seleccionar los criterios de impacto(Afectación Económica o presupuestal y Pérdida Reputacional)",M53)</f>
        <v>0</v>
      </c>
      <c r="O53" s="207" t="str">
        <f ca="1">IF(OR(N53='Tabla Impacto'!$C$11,N53='Tabla Impacto'!$D$11),"Leve",IF(OR(N53='Tabla Impacto'!$C$12,N53='Tabla Impacto'!$D$12),"Menor",IF(OR(N53='Tabla Impacto'!$C$13,N53='Tabla Impacto'!$D$13),"Moderado",IF(OR(N53='Tabla Impacto'!$C$14,N53='Tabla Impacto'!$D$14),"Mayor",IF(OR(N53='Tabla Impacto'!$C$15,N53='Tabla Impacto'!$D$15),"Catastrófico","")))))</f>
        <v/>
      </c>
      <c r="P53" s="204" t="str">
        <f ca="1">IF(O53="","",IF(O53="Leve",0.2,IF(O53="Menor",0.4,IF(O53="Moderado",0.6,IF(O53="Mayor",0.8,IF(O53="Catastrófico",1,))))))</f>
        <v/>
      </c>
      <c r="Q53" s="210" t="str">
        <f ca="1">IF(OR(AND(K53="Muy Baja",O53="Leve"),AND(K53="Muy Baja",O53="Menor"),AND(K53="Baja",O53="Leve")),"Bajo",IF(OR(AND(K53="Muy baja",O53="Moderado"),AND(K53="Baja",O53="Menor"),AND(K53="Baja",O53="Moderado"),AND(K53="Media",O53="Leve"),AND(K53="Media",O53="Menor"),AND(K53="Media",O53="Moderado"),AND(K53="Alta",O53="Leve"),AND(K53="Alta",O53="Menor")),"Moderado",IF(OR(AND(K53="Muy Baja",O53="Mayor"),AND(K53="Baja",O53="Mayor"),AND(K53="Media",O53="Mayor"),AND(K53="Alta",O53="Moderado"),AND(K53="Alta",O53="Mayor"),AND(K53="Muy Alta",O53="Leve"),AND(K53="Muy Alta",O53="Menor"),AND(K53="Muy Alta",O53="Moderado"),AND(K53="Muy Alta",O53="Mayor")),"Alto",IF(OR(AND(K53="Muy Baja",O53="Catastrófico"),AND(K53="Baja",O53="Catastrófico"),AND(K53="Media",O53="Catastrófico"),AND(K53="Alta",O53="Catastrófico"),AND(K53="Muy Alta",O53="Catastrófico")),"Extremo",""))))</f>
        <v/>
      </c>
      <c r="R53" s="122">
        <v>1</v>
      </c>
      <c r="S53" s="123"/>
      <c r="T53" s="124" t="str">
        <f t="shared" si="0"/>
        <v/>
      </c>
      <c r="U53" s="125"/>
      <c r="V53" s="125"/>
      <c r="W53" s="126" t="str">
        <f>IF(AND(U53="Preventivo",V53="Automático"),"50%",IF(AND(U53="Preventivo",V53="Manual"),"40%",IF(AND(U53="Detectivo",V53="Automático"),"40%",IF(AND(U53="Detectivo",V53="Manual"),"30%",IF(AND(U53="Correctivo",V53="Automático"),"35%",IF(AND(U53="Correctivo",V53="Manual"),"25%",""))))))</f>
        <v/>
      </c>
      <c r="X53" s="125"/>
      <c r="Y53" s="125"/>
      <c r="Z53" s="125"/>
      <c r="AA53" s="127" t="str">
        <f>IFERROR(IF(T53="Probabilidad",(L53-(+L53*W53)),IF(T53="Impacto",L53,"")),"")</f>
        <v/>
      </c>
      <c r="AB53" s="128" t="str">
        <f>IFERROR(IF(AA53="","",IF(AA53&lt;=0.2,"Muy Baja",IF(AA53&lt;=0.4,"Baja",IF(AA53&lt;=0.6,"Media",IF(AA53&lt;=0.8,"Alta","Muy Alta"))))),"")</f>
        <v/>
      </c>
      <c r="AC53" s="129" t="str">
        <f>+AA53</f>
        <v/>
      </c>
      <c r="AD53" s="128" t="str">
        <f>IFERROR(IF(AE53="","",IF(AE53&lt;=0.2,"Leve",IF(AE53&lt;=0.4,"Menor",IF(AE53&lt;=0.6,"Moderado",IF(AE53&lt;=0.8,"Mayor","Catastrófico"))))),"")</f>
        <v/>
      </c>
      <c r="AE53" s="129" t="str">
        <f>IFERROR(IF(T53="Impacto",(P53-(+P53*W53)),IF(T53="Probabilidad",P53,"")),"")</f>
        <v/>
      </c>
      <c r="AF53" s="130" t="str">
        <f>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31"/>
      <c r="AH53" s="132"/>
      <c r="AI53" s="133"/>
      <c r="AJ53" s="134"/>
      <c r="AK53" s="134"/>
      <c r="AL53" s="132"/>
      <c r="AM53" s="133"/>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row>
    <row r="54" spans="1:71" ht="68.45" customHeight="1" x14ac:dyDescent="0.3">
      <c r="A54" s="243"/>
      <c r="B54" s="202"/>
      <c r="C54" s="202"/>
      <c r="D54" s="202"/>
      <c r="E54" s="138"/>
      <c r="F54" s="202"/>
      <c r="G54" s="246"/>
      <c r="H54" s="246"/>
      <c r="I54" s="202"/>
      <c r="J54" s="249"/>
      <c r="K54" s="208"/>
      <c r="L54" s="205"/>
      <c r="M54" s="252"/>
      <c r="N54" s="205">
        <f ca="1">IF(NOT(ISERROR(MATCH(M54,_xlfn.ANCHORARRAY(F65),0))),L67&amp;"Por favor no seleccionar los criterios de impacto",M54)</f>
        <v>0</v>
      </c>
      <c r="O54" s="208"/>
      <c r="P54" s="205"/>
      <c r="Q54" s="211"/>
      <c r="R54" s="122">
        <v>2</v>
      </c>
      <c r="S54" s="123"/>
      <c r="T54" s="124" t="str">
        <f t="shared" si="0"/>
        <v/>
      </c>
      <c r="U54" s="125"/>
      <c r="V54" s="125"/>
      <c r="W54" s="126" t="str">
        <f t="shared" ref="W54:W58" si="44">IF(AND(U54="Preventivo",V54="Automático"),"50%",IF(AND(U54="Preventivo",V54="Manual"),"40%",IF(AND(U54="Detectivo",V54="Automático"),"40%",IF(AND(U54="Detectivo",V54="Manual"),"30%",IF(AND(U54="Correctivo",V54="Automático"),"35%",IF(AND(U54="Correctivo",V54="Manual"),"25%",""))))))</f>
        <v/>
      </c>
      <c r="X54" s="125"/>
      <c r="Y54" s="125"/>
      <c r="Z54" s="125"/>
      <c r="AA54" s="127" t="str">
        <f>IFERROR(IF(AND(T53="Probabilidad",T54="Probabilidad"),(AC53-(+AC53*W54)),IF(T54="Probabilidad",(L53-(+L53*W54)),IF(T54="Impacto",AC53,""))),"")</f>
        <v/>
      </c>
      <c r="AB54" s="128" t="str">
        <f t="shared" si="2"/>
        <v/>
      </c>
      <c r="AC54" s="129" t="str">
        <f t="shared" ref="AC54:AC58" si="45">+AA54</f>
        <v/>
      </c>
      <c r="AD54" s="128" t="str">
        <f t="shared" si="4"/>
        <v/>
      </c>
      <c r="AE54" s="129" t="str">
        <f>IFERROR(IF(AND(T53="Impacto",T54="Impacto"),(AE53-(+AE53*W54)),IF(T54="Impacto",(P53-(+P53*W54)),IF(T54="Probabilidad",AE53,""))),"")</f>
        <v/>
      </c>
      <c r="AF54" s="130" t="str">
        <f t="shared" ref="AF54:AF55" si="46">IFERROR(IF(OR(AND(AB54="Muy Baja",AD54="Leve"),AND(AB54="Muy Baja",AD54="Menor"),AND(AB54="Baja",AD54="Leve")),"Bajo",IF(OR(AND(AB54="Muy baja",AD54="Moderado"),AND(AB54="Baja",AD54="Menor"),AND(AB54="Baja",AD54="Moderado"),AND(AB54="Media",AD54="Leve"),AND(AB54="Media",AD54="Menor"),AND(AB54="Media",AD54="Moderado"),AND(AB54="Alta",AD54="Leve"),AND(AB54="Alta",AD54="Menor")),"Moderado",IF(OR(AND(AB54="Muy Baja",AD54="Mayor"),AND(AB54="Baja",AD54="Mayor"),AND(AB54="Media",AD54="Mayor"),AND(AB54="Alta",AD54="Moderado"),AND(AB54="Alta",AD54="Mayor"),AND(AB54="Muy Alta",AD54="Leve"),AND(AB54="Muy Alta",AD54="Menor"),AND(AB54="Muy Alta",AD54="Moderado"),AND(AB54="Muy Alta",AD54="Mayor")),"Alto",IF(OR(AND(AB54="Muy Baja",AD54="Catastrófico"),AND(AB54="Baja",AD54="Catastrófico"),AND(AB54="Media",AD54="Catastrófico"),AND(AB54="Alta",AD54="Catastrófico"),AND(AB54="Muy Alta",AD54="Catastrófico")),"Extremo","")))),"")</f>
        <v/>
      </c>
      <c r="AG54" s="131"/>
      <c r="AH54" s="132"/>
      <c r="AI54" s="133"/>
      <c r="AJ54" s="134"/>
      <c r="AK54" s="134"/>
      <c r="AL54" s="132"/>
      <c r="AM54" s="133"/>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row>
    <row r="55" spans="1:71" ht="68.45" customHeight="1" x14ac:dyDescent="0.3">
      <c r="A55" s="243"/>
      <c r="B55" s="202"/>
      <c r="C55" s="202"/>
      <c r="D55" s="202"/>
      <c r="E55" s="138"/>
      <c r="F55" s="202"/>
      <c r="G55" s="246"/>
      <c r="H55" s="246"/>
      <c r="I55" s="202"/>
      <c r="J55" s="249"/>
      <c r="K55" s="208"/>
      <c r="L55" s="205"/>
      <c r="M55" s="252"/>
      <c r="N55" s="205">
        <f ca="1">IF(NOT(ISERROR(MATCH(M55,_xlfn.ANCHORARRAY(F66),0))),L68&amp;"Por favor no seleccionar los criterios de impacto",M55)</f>
        <v>0</v>
      </c>
      <c r="O55" s="208"/>
      <c r="P55" s="205"/>
      <c r="Q55" s="211"/>
      <c r="R55" s="122">
        <v>3</v>
      </c>
      <c r="S55" s="135"/>
      <c r="T55" s="124" t="str">
        <f t="shared" si="0"/>
        <v/>
      </c>
      <c r="U55" s="125"/>
      <c r="V55" s="125"/>
      <c r="W55" s="126" t="str">
        <f t="shared" si="44"/>
        <v/>
      </c>
      <c r="X55" s="125"/>
      <c r="Y55" s="125"/>
      <c r="Z55" s="125"/>
      <c r="AA55" s="127" t="str">
        <f>IFERROR(IF(AND(T54="Probabilidad",T55="Probabilidad"),(AC54-(+AC54*W55)),IF(AND(T54="Impacto",T55="Probabilidad"),(AC53-(+AC53*W55)),IF(T55="Impacto",AC54,""))),"")</f>
        <v/>
      </c>
      <c r="AB55" s="128" t="str">
        <f t="shared" si="2"/>
        <v/>
      </c>
      <c r="AC55" s="129" t="str">
        <f t="shared" si="45"/>
        <v/>
      </c>
      <c r="AD55" s="128" t="str">
        <f t="shared" si="4"/>
        <v/>
      </c>
      <c r="AE55" s="129" t="str">
        <f>IFERROR(IF(AND(T54="Impacto",T55="Impacto"),(AE54-(+AE54*W55)),IF(AND(T54="Probabilidad",T55="Impacto"),(AE53-(+AE53*W55)),IF(T55="Probabilidad",AE54,""))),"")</f>
        <v/>
      </c>
      <c r="AF55" s="130" t="str">
        <f t="shared" si="46"/>
        <v/>
      </c>
      <c r="AG55" s="131"/>
      <c r="AH55" s="132"/>
      <c r="AI55" s="133"/>
      <c r="AJ55" s="134"/>
      <c r="AK55" s="134"/>
      <c r="AL55" s="132"/>
      <c r="AM55" s="133"/>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row>
    <row r="56" spans="1:71" ht="68.45" customHeight="1" x14ac:dyDescent="0.3">
      <c r="A56" s="243"/>
      <c r="B56" s="202"/>
      <c r="C56" s="202"/>
      <c r="D56" s="202"/>
      <c r="E56" s="138"/>
      <c r="F56" s="202"/>
      <c r="G56" s="246"/>
      <c r="H56" s="246"/>
      <c r="I56" s="202"/>
      <c r="J56" s="249"/>
      <c r="K56" s="208"/>
      <c r="L56" s="205"/>
      <c r="M56" s="252"/>
      <c r="N56" s="205">
        <f ca="1">IF(NOT(ISERROR(MATCH(M56,_xlfn.ANCHORARRAY(F67),0))),L69&amp;"Por favor no seleccionar los criterios de impacto",M56)</f>
        <v>0</v>
      </c>
      <c r="O56" s="208"/>
      <c r="P56" s="205"/>
      <c r="Q56" s="211"/>
      <c r="R56" s="122">
        <v>4</v>
      </c>
      <c r="S56" s="123"/>
      <c r="T56" s="124" t="str">
        <f t="shared" si="0"/>
        <v/>
      </c>
      <c r="U56" s="125"/>
      <c r="V56" s="125"/>
      <c r="W56" s="126" t="str">
        <f t="shared" si="44"/>
        <v/>
      </c>
      <c r="X56" s="125"/>
      <c r="Y56" s="125"/>
      <c r="Z56" s="125"/>
      <c r="AA56" s="127" t="str">
        <f t="shared" ref="AA56:AA58" si="47">IFERROR(IF(AND(T55="Probabilidad",T56="Probabilidad"),(AC55-(+AC55*W56)),IF(AND(T55="Impacto",T56="Probabilidad"),(AC54-(+AC54*W56)),IF(T56="Impacto",AC55,""))),"")</f>
        <v/>
      </c>
      <c r="AB56" s="128" t="str">
        <f t="shared" si="2"/>
        <v/>
      </c>
      <c r="AC56" s="129" t="str">
        <f t="shared" si="45"/>
        <v/>
      </c>
      <c r="AD56" s="128" t="str">
        <f t="shared" si="4"/>
        <v/>
      </c>
      <c r="AE56" s="129" t="str">
        <f t="shared" ref="AE56:AE58" si="48">IFERROR(IF(AND(T55="Impacto",T56="Impacto"),(AE55-(+AE55*W56)),IF(AND(T55="Probabilidad",T56="Impacto"),(AE54-(+AE54*W56)),IF(T56="Probabilidad",AE55,""))),"")</f>
        <v/>
      </c>
      <c r="AF56" s="130" t="str">
        <f>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31"/>
      <c r="AH56" s="132"/>
      <c r="AI56" s="133"/>
      <c r="AJ56" s="134"/>
      <c r="AK56" s="134"/>
      <c r="AL56" s="132"/>
      <c r="AM56" s="133"/>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row>
    <row r="57" spans="1:71" ht="68.45" customHeight="1" x14ac:dyDescent="0.3">
      <c r="A57" s="243"/>
      <c r="B57" s="202"/>
      <c r="C57" s="202"/>
      <c r="D57" s="202"/>
      <c r="E57" s="138"/>
      <c r="F57" s="202"/>
      <c r="G57" s="246"/>
      <c r="H57" s="246"/>
      <c r="I57" s="202"/>
      <c r="J57" s="249"/>
      <c r="K57" s="208"/>
      <c r="L57" s="205"/>
      <c r="M57" s="252"/>
      <c r="N57" s="205">
        <f ca="1">IF(NOT(ISERROR(MATCH(M57,_xlfn.ANCHORARRAY(F68),0))),L70&amp;"Por favor no seleccionar los criterios de impacto",M57)</f>
        <v>0</v>
      </c>
      <c r="O57" s="208"/>
      <c r="P57" s="205"/>
      <c r="Q57" s="211"/>
      <c r="R57" s="122">
        <v>5</v>
      </c>
      <c r="S57" s="123"/>
      <c r="T57" s="124" t="str">
        <f t="shared" si="0"/>
        <v/>
      </c>
      <c r="U57" s="125"/>
      <c r="V57" s="125"/>
      <c r="W57" s="126" t="str">
        <f t="shared" si="44"/>
        <v/>
      </c>
      <c r="X57" s="125"/>
      <c r="Y57" s="125"/>
      <c r="Z57" s="125"/>
      <c r="AA57" s="127" t="str">
        <f t="shared" si="47"/>
        <v/>
      </c>
      <c r="AB57" s="128" t="str">
        <f t="shared" si="2"/>
        <v/>
      </c>
      <c r="AC57" s="129" t="str">
        <f t="shared" si="45"/>
        <v/>
      </c>
      <c r="AD57" s="128" t="str">
        <f t="shared" si="4"/>
        <v/>
      </c>
      <c r="AE57" s="129" t="str">
        <f t="shared" si="48"/>
        <v/>
      </c>
      <c r="AF57" s="130" t="str">
        <f t="shared" ref="AF57:AF58" si="49">IFERROR(IF(OR(AND(AB57="Muy Baja",AD57="Leve"),AND(AB57="Muy Baja",AD57="Menor"),AND(AB57="Baja",AD57="Leve")),"Bajo",IF(OR(AND(AB57="Muy baja",AD57="Moderado"),AND(AB57="Baja",AD57="Menor"),AND(AB57="Baja",AD57="Moderado"),AND(AB57="Media",AD57="Leve"),AND(AB57="Media",AD57="Menor"),AND(AB57="Media",AD57="Moderado"),AND(AB57="Alta",AD57="Leve"),AND(AB57="Alta",AD57="Menor")),"Moderado",IF(OR(AND(AB57="Muy Baja",AD57="Mayor"),AND(AB57="Baja",AD57="Mayor"),AND(AB57="Media",AD57="Mayor"),AND(AB57="Alta",AD57="Moderado"),AND(AB57="Alta",AD57="Mayor"),AND(AB57="Muy Alta",AD57="Leve"),AND(AB57="Muy Alta",AD57="Menor"),AND(AB57="Muy Alta",AD57="Moderado"),AND(AB57="Muy Alta",AD57="Mayor")),"Alto",IF(OR(AND(AB57="Muy Baja",AD57="Catastrófico"),AND(AB57="Baja",AD57="Catastrófico"),AND(AB57="Media",AD57="Catastrófico"),AND(AB57="Alta",AD57="Catastrófico"),AND(AB57="Muy Alta",AD57="Catastrófico")),"Extremo","")))),"")</f>
        <v/>
      </c>
      <c r="AG57" s="131"/>
      <c r="AH57" s="132"/>
      <c r="AI57" s="133"/>
      <c r="AJ57" s="134"/>
      <c r="AK57" s="134"/>
      <c r="AL57" s="132"/>
      <c r="AM57" s="133"/>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row>
    <row r="58" spans="1:71" ht="68.45" customHeight="1" x14ac:dyDescent="0.3">
      <c r="A58" s="244"/>
      <c r="B58" s="203"/>
      <c r="C58" s="203"/>
      <c r="D58" s="203"/>
      <c r="E58" s="139"/>
      <c r="F58" s="203"/>
      <c r="G58" s="247"/>
      <c r="H58" s="247"/>
      <c r="I58" s="203"/>
      <c r="J58" s="250"/>
      <c r="K58" s="209"/>
      <c r="L58" s="206"/>
      <c r="M58" s="253"/>
      <c r="N58" s="206">
        <f ca="1">IF(NOT(ISERROR(MATCH(M58,_xlfn.ANCHORARRAY(F69),0))),L71&amp;"Por favor no seleccionar los criterios de impacto",M58)</f>
        <v>0</v>
      </c>
      <c r="O58" s="209"/>
      <c r="P58" s="206"/>
      <c r="Q58" s="212"/>
      <c r="R58" s="122">
        <v>6</v>
      </c>
      <c r="S58" s="123"/>
      <c r="T58" s="124" t="str">
        <f t="shared" si="0"/>
        <v/>
      </c>
      <c r="U58" s="125"/>
      <c r="V58" s="125"/>
      <c r="W58" s="126" t="str">
        <f t="shared" si="44"/>
        <v/>
      </c>
      <c r="X58" s="125"/>
      <c r="Y58" s="125"/>
      <c r="Z58" s="125"/>
      <c r="AA58" s="127" t="str">
        <f t="shared" si="47"/>
        <v/>
      </c>
      <c r="AB58" s="128" t="str">
        <f t="shared" si="2"/>
        <v/>
      </c>
      <c r="AC58" s="129" t="str">
        <f t="shared" si="45"/>
        <v/>
      </c>
      <c r="AD58" s="128" t="str">
        <f t="shared" si="4"/>
        <v/>
      </c>
      <c r="AE58" s="129" t="str">
        <f t="shared" si="48"/>
        <v/>
      </c>
      <c r="AF58" s="130" t="str">
        <f t="shared" si="49"/>
        <v/>
      </c>
      <c r="AG58" s="131"/>
      <c r="AH58" s="132"/>
      <c r="AI58" s="133"/>
      <c r="AJ58" s="134"/>
      <c r="AK58" s="134"/>
      <c r="AL58" s="132"/>
      <c r="AM58" s="133"/>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row>
    <row r="59" spans="1:71" ht="68.45" customHeight="1" x14ac:dyDescent="0.3">
      <c r="A59" s="242">
        <v>10</v>
      </c>
      <c r="B59" s="201"/>
      <c r="C59" s="201"/>
      <c r="D59" s="201"/>
      <c r="E59" s="137"/>
      <c r="F59" s="201"/>
      <c r="G59" s="245"/>
      <c r="H59" s="245"/>
      <c r="I59" s="201"/>
      <c r="J59" s="248"/>
      <c r="K59" s="207" t="str">
        <f>IF(J59&lt;=0,"",IF(J59&lt;=2,"Muy Baja",IF(J59&lt;=24,"Baja",IF(J59&lt;=500,"Media",IF(J59&lt;=5000,"Alta","Muy Alta")))))</f>
        <v/>
      </c>
      <c r="L59" s="204" t="str">
        <f>IF(K59="","",IF(K59="Muy Baja",0.2,IF(K59="Baja",0.4,IF(K59="Media",0.6,IF(K59="Alta",0.8,IF(K59="Muy Alta",1,))))))</f>
        <v/>
      </c>
      <c r="M59" s="251"/>
      <c r="N59" s="204">
        <f ca="1">IF(NOT(ISERROR(MATCH(M59,'Tabla Impacto'!$B$221:$B$223,0))),'Tabla Impacto'!$F$223&amp;"Por favor no seleccionar los criterios de impacto(Afectación Económica o presupuestal y Pérdida Reputacional)",M59)</f>
        <v>0</v>
      </c>
      <c r="O59" s="207" t="str">
        <f ca="1">IF(OR(N59='Tabla Impacto'!$C$11,N59='Tabla Impacto'!$D$11),"Leve",IF(OR(N59='Tabla Impacto'!$C$12,N59='Tabla Impacto'!$D$12),"Menor",IF(OR(N59='Tabla Impacto'!$C$13,N59='Tabla Impacto'!$D$13),"Moderado",IF(OR(N59='Tabla Impacto'!$C$14,N59='Tabla Impacto'!$D$14),"Mayor",IF(OR(N59='Tabla Impacto'!$C$15,N59='Tabla Impacto'!$D$15),"Catastrófico","")))))</f>
        <v/>
      </c>
      <c r="P59" s="204" t="str">
        <f ca="1">IF(O59="","",IF(O59="Leve",0.2,IF(O59="Menor",0.4,IF(O59="Moderado",0.6,IF(O59="Mayor",0.8,IF(O59="Catastrófico",1,))))))</f>
        <v/>
      </c>
      <c r="Q59" s="210" t="str">
        <f ca="1">IF(OR(AND(K59="Muy Baja",O59="Leve"),AND(K59="Muy Baja",O59="Menor"),AND(K59="Baja",O59="Leve")),"Bajo",IF(OR(AND(K59="Muy baja",O59="Moderado"),AND(K59="Baja",O59="Menor"),AND(K59="Baja",O59="Moderado"),AND(K59="Media",O59="Leve"),AND(K59="Media",O59="Menor"),AND(K59="Media",O59="Moderado"),AND(K59="Alta",O59="Leve"),AND(K59="Alta",O59="Menor")),"Moderado",IF(OR(AND(K59="Muy Baja",O59="Mayor"),AND(K59="Baja",O59="Mayor"),AND(K59="Media",O59="Mayor"),AND(K59="Alta",O59="Moderado"),AND(K59="Alta",O59="Mayor"),AND(K59="Muy Alta",O59="Leve"),AND(K59="Muy Alta",O59="Menor"),AND(K59="Muy Alta",O59="Moderado"),AND(K59="Muy Alta",O59="Mayor")),"Alto",IF(OR(AND(K59="Muy Baja",O59="Catastrófico"),AND(K59="Baja",O59="Catastrófico"),AND(K59="Media",O59="Catastrófico"),AND(K59="Alta",O59="Catastrófico"),AND(K59="Muy Alta",O59="Catastrófico")),"Extremo",""))))</f>
        <v/>
      </c>
      <c r="R59" s="122">
        <v>1</v>
      </c>
      <c r="S59" s="123"/>
      <c r="T59" s="124" t="str">
        <f t="shared" si="0"/>
        <v/>
      </c>
      <c r="U59" s="125"/>
      <c r="V59" s="125"/>
      <c r="W59" s="126" t="str">
        <f>IF(AND(U59="Preventivo",V59="Automático"),"50%",IF(AND(U59="Preventivo",V59="Manual"),"40%",IF(AND(U59="Detectivo",V59="Automático"),"40%",IF(AND(U59="Detectivo",V59="Manual"),"30%",IF(AND(U59="Correctivo",V59="Automático"),"35%",IF(AND(U59="Correctivo",V59="Manual"),"25%",""))))))</f>
        <v/>
      </c>
      <c r="X59" s="125"/>
      <c r="Y59" s="125"/>
      <c r="Z59" s="125"/>
      <c r="AA59" s="127" t="str">
        <f>IFERROR(IF(T59="Probabilidad",(L59-(+L59*W59)),IF(T59="Impacto",L59,"")),"")</f>
        <v/>
      </c>
      <c r="AB59" s="128" t="str">
        <f>IFERROR(IF(AA59="","",IF(AA59&lt;=0.2,"Muy Baja",IF(AA59&lt;=0.4,"Baja",IF(AA59&lt;=0.6,"Media",IF(AA59&lt;=0.8,"Alta","Muy Alta"))))),"")</f>
        <v/>
      </c>
      <c r="AC59" s="129" t="str">
        <f>+AA59</f>
        <v/>
      </c>
      <c r="AD59" s="128" t="str">
        <f>IFERROR(IF(AE59="","",IF(AE59&lt;=0.2,"Leve",IF(AE59&lt;=0.4,"Menor",IF(AE59&lt;=0.6,"Moderado",IF(AE59&lt;=0.8,"Mayor","Catastrófico"))))),"")</f>
        <v/>
      </c>
      <c r="AE59" s="129" t="str">
        <f>IFERROR(IF(T59="Impacto",(P59-(+P59*W59)),IF(T59="Probabilidad",P59,"")),"")</f>
        <v/>
      </c>
      <c r="AF59" s="130" t="str">
        <f>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1"/>
      <c r="AH59" s="132"/>
      <c r="AI59" s="133"/>
      <c r="AJ59" s="134"/>
      <c r="AK59" s="134"/>
      <c r="AL59" s="132"/>
      <c r="AM59" s="133"/>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row>
    <row r="60" spans="1:71" ht="68.45" customHeight="1" x14ac:dyDescent="0.3">
      <c r="A60" s="243"/>
      <c r="B60" s="202"/>
      <c r="C60" s="202"/>
      <c r="D60" s="202"/>
      <c r="E60" s="138"/>
      <c r="F60" s="202"/>
      <c r="G60" s="246"/>
      <c r="H60" s="246"/>
      <c r="I60" s="202"/>
      <c r="J60" s="249"/>
      <c r="K60" s="208"/>
      <c r="L60" s="205"/>
      <c r="M60" s="252"/>
      <c r="N60" s="205">
        <f ca="1">IF(NOT(ISERROR(MATCH(M60,_xlfn.ANCHORARRAY(F71),0))),L73&amp;"Por favor no seleccionar los criterios de impacto",M60)</f>
        <v>0</v>
      </c>
      <c r="O60" s="208"/>
      <c r="P60" s="205"/>
      <c r="Q60" s="211"/>
      <c r="R60" s="122">
        <v>2</v>
      </c>
      <c r="S60" s="123"/>
      <c r="T60" s="124" t="str">
        <f t="shared" si="0"/>
        <v/>
      </c>
      <c r="U60" s="125"/>
      <c r="V60" s="125"/>
      <c r="W60" s="126" t="str">
        <f t="shared" ref="W60:W64" si="50">IF(AND(U60="Preventivo",V60="Automático"),"50%",IF(AND(U60="Preventivo",V60="Manual"),"40%",IF(AND(U60="Detectivo",V60="Automático"),"40%",IF(AND(U60="Detectivo",V60="Manual"),"30%",IF(AND(U60="Correctivo",V60="Automático"),"35%",IF(AND(U60="Correctivo",V60="Manual"),"25%",""))))))</f>
        <v/>
      </c>
      <c r="X60" s="125"/>
      <c r="Y60" s="125"/>
      <c r="Z60" s="125"/>
      <c r="AA60" s="127" t="str">
        <f>IFERROR(IF(AND(T59="Probabilidad",T60="Probabilidad"),(AC59-(+AC59*W60)),IF(T60="Probabilidad",(L59-(+L59*W60)),IF(T60="Impacto",AC59,""))),"")</f>
        <v/>
      </c>
      <c r="AB60" s="128" t="str">
        <f t="shared" si="2"/>
        <v/>
      </c>
      <c r="AC60" s="129" t="str">
        <f t="shared" ref="AC60:AC64" si="51">+AA60</f>
        <v/>
      </c>
      <c r="AD60" s="128" t="str">
        <f t="shared" si="4"/>
        <v/>
      </c>
      <c r="AE60" s="129" t="str">
        <f>IFERROR(IF(AND(T59="Impacto",T60="Impacto"),(AE59-(+AE59*W60)),IF(T60="Impacto",(P59-(+P59*W60)),IF(T60="Probabilidad",AE59,""))),"")</f>
        <v/>
      </c>
      <c r="AF60" s="130" t="str">
        <f t="shared" ref="AF60:AF61" si="52">IFERROR(IF(OR(AND(AB60="Muy Baja",AD60="Leve"),AND(AB60="Muy Baja",AD60="Menor"),AND(AB60="Baja",AD60="Leve")),"Bajo",IF(OR(AND(AB60="Muy baja",AD60="Moderado"),AND(AB60="Baja",AD60="Menor"),AND(AB60="Baja",AD60="Moderado"),AND(AB60="Media",AD60="Leve"),AND(AB60="Media",AD60="Menor"),AND(AB60="Media",AD60="Moderado"),AND(AB60="Alta",AD60="Leve"),AND(AB60="Alta",AD60="Menor")),"Moderado",IF(OR(AND(AB60="Muy Baja",AD60="Mayor"),AND(AB60="Baja",AD60="Mayor"),AND(AB60="Media",AD60="Mayor"),AND(AB60="Alta",AD60="Moderado"),AND(AB60="Alta",AD60="Mayor"),AND(AB60="Muy Alta",AD60="Leve"),AND(AB60="Muy Alta",AD60="Menor"),AND(AB60="Muy Alta",AD60="Moderado"),AND(AB60="Muy Alta",AD60="Mayor")),"Alto",IF(OR(AND(AB60="Muy Baja",AD60="Catastrófico"),AND(AB60="Baja",AD60="Catastrófico"),AND(AB60="Media",AD60="Catastrófico"),AND(AB60="Alta",AD60="Catastrófico"),AND(AB60="Muy Alta",AD60="Catastrófico")),"Extremo","")))),"")</f>
        <v/>
      </c>
      <c r="AG60" s="131"/>
      <c r="AH60" s="132"/>
      <c r="AI60" s="133"/>
      <c r="AJ60" s="134"/>
      <c r="AK60" s="134"/>
      <c r="AL60" s="132"/>
      <c r="AM60" s="133"/>
    </row>
    <row r="61" spans="1:71" ht="68.45" customHeight="1" x14ac:dyDescent="0.3">
      <c r="A61" s="243"/>
      <c r="B61" s="202"/>
      <c r="C61" s="202"/>
      <c r="D61" s="202"/>
      <c r="E61" s="138"/>
      <c r="F61" s="202"/>
      <c r="G61" s="246"/>
      <c r="H61" s="246"/>
      <c r="I61" s="202"/>
      <c r="J61" s="249"/>
      <c r="K61" s="208"/>
      <c r="L61" s="205"/>
      <c r="M61" s="252"/>
      <c r="N61" s="205">
        <f ca="1">IF(NOT(ISERROR(MATCH(M61,_xlfn.ANCHORARRAY(F72),0))),L74&amp;"Por favor no seleccionar los criterios de impacto",M61)</f>
        <v>0</v>
      </c>
      <c r="O61" s="208"/>
      <c r="P61" s="205"/>
      <c r="Q61" s="211"/>
      <c r="R61" s="122">
        <v>3</v>
      </c>
      <c r="S61" s="135"/>
      <c r="T61" s="124" t="str">
        <f t="shared" si="0"/>
        <v/>
      </c>
      <c r="U61" s="125"/>
      <c r="V61" s="125"/>
      <c r="W61" s="126" t="str">
        <f t="shared" si="50"/>
        <v/>
      </c>
      <c r="X61" s="125"/>
      <c r="Y61" s="125"/>
      <c r="Z61" s="125"/>
      <c r="AA61" s="127" t="str">
        <f>IFERROR(IF(AND(T60="Probabilidad",T61="Probabilidad"),(AC60-(+AC60*W61)),IF(AND(T60="Impacto",T61="Probabilidad"),(AC59-(+AC59*W61)),IF(T61="Impacto",AC60,""))),"")</f>
        <v/>
      </c>
      <c r="AB61" s="128" t="str">
        <f t="shared" si="2"/>
        <v/>
      </c>
      <c r="AC61" s="129" t="str">
        <f t="shared" si="51"/>
        <v/>
      </c>
      <c r="AD61" s="128" t="str">
        <f t="shared" si="4"/>
        <v/>
      </c>
      <c r="AE61" s="129" t="str">
        <f>IFERROR(IF(AND(T60="Impacto",T61="Impacto"),(AE60-(+AE60*W61)),IF(AND(T60="Probabilidad",T61="Impacto"),(AE59-(+AE59*W61)),IF(T61="Probabilidad",AE60,""))),"")</f>
        <v/>
      </c>
      <c r="AF61" s="130" t="str">
        <f t="shared" si="52"/>
        <v/>
      </c>
      <c r="AG61" s="131"/>
      <c r="AH61" s="132"/>
      <c r="AI61" s="133"/>
      <c r="AJ61" s="134"/>
      <c r="AK61" s="134"/>
      <c r="AL61" s="132"/>
      <c r="AM61" s="133"/>
    </row>
    <row r="62" spans="1:71" ht="68.45" customHeight="1" x14ac:dyDescent="0.3">
      <c r="A62" s="243"/>
      <c r="B62" s="202"/>
      <c r="C62" s="202"/>
      <c r="D62" s="202"/>
      <c r="E62" s="138"/>
      <c r="F62" s="202"/>
      <c r="G62" s="246"/>
      <c r="H62" s="246"/>
      <c r="I62" s="202"/>
      <c r="J62" s="249"/>
      <c r="K62" s="208"/>
      <c r="L62" s="205"/>
      <c r="M62" s="252"/>
      <c r="N62" s="205">
        <f ca="1">IF(NOT(ISERROR(MATCH(M62,_xlfn.ANCHORARRAY(F73),0))),L75&amp;"Por favor no seleccionar los criterios de impacto",M62)</f>
        <v>0</v>
      </c>
      <c r="O62" s="208"/>
      <c r="P62" s="205"/>
      <c r="Q62" s="211"/>
      <c r="R62" s="122">
        <v>4</v>
      </c>
      <c r="S62" s="123"/>
      <c r="T62" s="124" t="str">
        <f t="shared" si="0"/>
        <v/>
      </c>
      <c r="U62" s="125"/>
      <c r="V62" s="125"/>
      <c r="W62" s="126" t="str">
        <f t="shared" si="50"/>
        <v/>
      </c>
      <c r="X62" s="125"/>
      <c r="Y62" s="125"/>
      <c r="Z62" s="125"/>
      <c r="AA62" s="127" t="str">
        <f t="shared" ref="AA62:AA64" si="53">IFERROR(IF(AND(T61="Probabilidad",T62="Probabilidad"),(AC61-(+AC61*W62)),IF(AND(T61="Impacto",T62="Probabilidad"),(AC60-(+AC60*W62)),IF(T62="Impacto",AC61,""))),"")</f>
        <v/>
      </c>
      <c r="AB62" s="128" t="str">
        <f t="shared" si="2"/>
        <v/>
      </c>
      <c r="AC62" s="129" t="str">
        <f t="shared" si="51"/>
        <v/>
      </c>
      <c r="AD62" s="128" t="str">
        <f t="shared" si="4"/>
        <v/>
      </c>
      <c r="AE62" s="129" t="str">
        <f t="shared" ref="AE62:AE64" si="54">IFERROR(IF(AND(T61="Impacto",T62="Impacto"),(AE61-(+AE61*W62)),IF(AND(T61="Probabilidad",T62="Impacto"),(AE60-(+AE60*W62)),IF(T62="Probabilidad",AE61,""))),"")</f>
        <v/>
      </c>
      <c r="AF62" s="130" t="str">
        <f>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1"/>
      <c r="AH62" s="132"/>
      <c r="AI62" s="133"/>
      <c r="AJ62" s="134"/>
      <c r="AK62" s="134"/>
      <c r="AL62" s="132"/>
      <c r="AM62" s="133"/>
    </row>
    <row r="63" spans="1:71" ht="68.45" customHeight="1" x14ac:dyDescent="0.3">
      <c r="A63" s="243"/>
      <c r="B63" s="202"/>
      <c r="C63" s="202"/>
      <c r="D63" s="202"/>
      <c r="E63" s="138"/>
      <c r="F63" s="202"/>
      <c r="G63" s="246"/>
      <c r="H63" s="246"/>
      <c r="I63" s="202"/>
      <c r="J63" s="249"/>
      <c r="K63" s="208"/>
      <c r="L63" s="205"/>
      <c r="M63" s="252"/>
      <c r="N63" s="205">
        <f ca="1">IF(NOT(ISERROR(MATCH(M63,_xlfn.ANCHORARRAY(F74),0))),L76&amp;"Por favor no seleccionar los criterios de impacto",M63)</f>
        <v>0</v>
      </c>
      <c r="O63" s="208"/>
      <c r="P63" s="205"/>
      <c r="Q63" s="211"/>
      <c r="R63" s="122">
        <v>5</v>
      </c>
      <c r="S63" s="123"/>
      <c r="T63" s="124" t="str">
        <f t="shared" si="0"/>
        <v/>
      </c>
      <c r="U63" s="125"/>
      <c r="V63" s="125"/>
      <c r="W63" s="126" t="str">
        <f t="shared" si="50"/>
        <v/>
      </c>
      <c r="X63" s="125"/>
      <c r="Y63" s="125"/>
      <c r="Z63" s="125"/>
      <c r="AA63" s="127" t="str">
        <f t="shared" si="53"/>
        <v/>
      </c>
      <c r="AB63" s="128" t="str">
        <f t="shared" si="2"/>
        <v/>
      </c>
      <c r="AC63" s="129" t="str">
        <f t="shared" si="51"/>
        <v/>
      </c>
      <c r="AD63" s="128" t="str">
        <f t="shared" si="4"/>
        <v/>
      </c>
      <c r="AE63" s="129" t="str">
        <f t="shared" si="54"/>
        <v/>
      </c>
      <c r="AF63" s="130" t="str">
        <f t="shared" ref="AF63:AF64" si="55">IFERROR(IF(OR(AND(AB63="Muy Baja",AD63="Leve"),AND(AB63="Muy Baja",AD63="Menor"),AND(AB63="Baja",AD63="Leve")),"Bajo",IF(OR(AND(AB63="Muy baja",AD63="Moderado"),AND(AB63="Baja",AD63="Menor"),AND(AB63="Baja",AD63="Moderado"),AND(AB63="Media",AD63="Leve"),AND(AB63="Media",AD63="Menor"),AND(AB63="Media",AD63="Moderado"),AND(AB63="Alta",AD63="Leve"),AND(AB63="Alta",AD63="Menor")),"Moderado",IF(OR(AND(AB63="Muy Baja",AD63="Mayor"),AND(AB63="Baja",AD63="Mayor"),AND(AB63="Media",AD63="Mayor"),AND(AB63="Alta",AD63="Moderado"),AND(AB63="Alta",AD63="Mayor"),AND(AB63="Muy Alta",AD63="Leve"),AND(AB63="Muy Alta",AD63="Menor"),AND(AB63="Muy Alta",AD63="Moderado"),AND(AB63="Muy Alta",AD63="Mayor")),"Alto",IF(OR(AND(AB63="Muy Baja",AD63="Catastrófico"),AND(AB63="Baja",AD63="Catastrófico"),AND(AB63="Media",AD63="Catastrófico"),AND(AB63="Alta",AD63="Catastrófico"),AND(AB63="Muy Alta",AD63="Catastrófico")),"Extremo","")))),"")</f>
        <v/>
      </c>
      <c r="AG63" s="131"/>
      <c r="AH63" s="132"/>
      <c r="AI63" s="133"/>
      <c r="AJ63" s="134"/>
      <c r="AK63" s="134"/>
      <c r="AL63" s="132"/>
      <c r="AM63" s="133"/>
    </row>
    <row r="64" spans="1:71" ht="68.45" customHeight="1" x14ac:dyDescent="0.3">
      <c r="A64" s="244"/>
      <c r="B64" s="203"/>
      <c r="C64" s="203"/>
      <c r="D64" s="203"/>
      <c r="E64" s="139"/>
      <c r="F64" s="203"/>
      <c r="G64" s="247"/>
      <c r="H64" s="247"/>
      <c r="I64" s="203"/>
      <c r="J64" s="250"/>
      <c r="K64" s="209"/>
      <c r="L64" s="206"/>
      <c r="M64" s="253"/>
      <c r="N64" s="206">
        <f ca="1">IF(NOT(ISERROR(MATCH(M64,_xlfn.ANCHORARRAY(F75),0))),L77&amp;"Por favor no seleccionar los criterios de impacto",M64)</f>
        <v>0</v>
      </c>
      <c r="O64" s="209"/>
      <c r="P64" s="206"/>
      <c r="Q64" s="212"/>
      <c r="R64" s="122">
        <v>6</v>
      </c>
      <c r="S64" s="123"/>
      <c r="T64" s="124" t="str">
        <f t="shared" si="0"/>
        <v/>
      </c>
      <c r="U64" s="125"/>
      <c r="V64" s="125"/>
      <c r="W64" s="126" t="str">
        <f t="shared" si="50"/>
        <v/>
      </c>
      <c r="X64" s="125"/>
      <c r="Y64" s="125"/>
      <c r="Z64" s="125"/>
      <c r="AA64" s="127" t="str">
        <f t="shared" si="53"/>
        <v/>
      </c>
      <c r="AB64" s="128" t="str">
        <f t="shared" si="2"/>
        <v/>
      </c>
      <c r="AC64" s="129" t="str">
        <f t="shared" si="51"/>
        <v/>
      </c>
      <c r="AD64" s="128" t="str">
        <f t="shared" si="4"/>
        <v/>
      </c>
      <c r="AE64" s="129" t="str">
        <f t="shared" si="54"/>
        <v/>
      </c>
      <c r="AF64" s="130" t="str">
        <f t="shared" si="55"/>
        <v/>
      </c>
      <c r="AG64" s="131"/>
      <c r="AH64" s="132"/>
      <c r="AI64" s="133"/>
      <c r="AJ64" s="134"/>
      <c r="AK64" s="134"/>
      <c r="AL64" s="132"/>
      <c r="AM64" s="133"/>
    </row>
    <row r="65" spans="1:39" ht="49.7" customHeight="1" x14ac:dyDescent="0.3">
      <c r="A65" s="6"/>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5"/>
    </row>
    <row r="67" spans="1:39" x14ac:dyDescent="0.3">
      <c r="A67" s="1"/>
      <c r="B67" s="23"/>
      <c r="C67" s="23"/>
      <c r="D67" s="1"/>
      <c r="E67" s="1"/>
      <c r="G67" s="1"/>
      <c r="H67" s="1"/>
      <c r="I67" s="1"/>
    </row>
  </sheetData>
  <dataConsolidate/>
  <mergeCells count="195">
    <mergeCell ref="D4:Q4"/>
    <mergeCell ref="I11:I16"/>
    <mergeCell ref="J11:J16"/>
    <mergeCell ref="K11:K16"/>
    <mergeCell ref="A11:A16"/>
    <mergeCell ref="B11:B16"/>
    <mergeCell ref="F11:F16"/>
    <mergeCell ref="H11:H16"/>
    <mergeCell ref="Q11:Q16"/>
    <mergeCell ref="L11:L16"/>
    <mergeCell ref="M11:M16"/>
    <mergeCell ref="N11:N16"/>
    <mergeCell ref="O11:O16"/>
    <mergeCell ref="P11:P16"/>
    <mergeCell ref="G11:G16"/>
    <mergeCell ref="D11:D16"/>
    <mergeCell ref="D5:Q5"/>
    <mergeCell ref="C11:C16"/>
    <mergeCell ref="A4:C4"/>
    <mergeCell ref="A5:C5"/>
    <mergeCell ref="A6:C6"/>
    <mergeCell ref="A7:C7"/>
    <mergeCell ref="A17:A22"/>
    <mergeCell ref="B17:B22"/>
    <mergeCell ref="F17:F22"/>
    <mergeCell ref="H17:H22"/>
    <mergeCell ref="AA9:AA10"/>
    <mergeCell ref="S9:S10"/>
    <mergeCell ref="AD9:AD10"/>
    <mergeCell ref="AB9:AB10"/>
    <mergeCell ref="AC9:AC10"/>
    <mergeCell ref="J9:J10"/>
    <mergeCell ref="K9:K10"/>
    <mergeCell ref="L9:L10"/>
    <mergeCell ref="O9:O10"/>
    <mergeCell ref="P9:P10"/>
    <mergeCell ref="Q9:Q10"/>
    <mergeCell ref="M9:M10"/>
    <mergeCell ref="N9:N10"/>
    <mergeCell ref="T9:T10"/>
    <mergeCell ref="U9:Z9"/>
    <mergeCell ref="N29:N34"/>
    <mergeCell ref="O29:O34"/>
    <mergeCell ref="P29:P34"/>
    <mergeCell ref="Q29:Q34"/>
    <mergeCell ref="N17:N22"/>
    <mergeCell ref="O17:O22"/>
    <mergeCell ref="P17:P22"/>
    <mergeCell ref="Q17:Q22"/>
    <mergeCell ref="A23:A28"/>
    <mergeCell ref="B23:B28"/>
    <mergeCell ref="F23:F28"/>
    <mergeCell ref="H23:H28"/>
    <mergeCell ref="I23:I28"/>
    <mergeCell ref="J23:J28"/>
    <mergeCell ref="K23:K28"/>
    <mergeCell ref="L23:L28"/>
    <mergeCell ref="M23:M28"/>
    <mergeCell ref="N23:N28"/>
    <mergeCell ref="O23:O28"/>
    <mergeCell ref="I17:I22"/>
    <mergeCell ref="J17:J22"/>
    <mergeCell ref="K17:K22"/>
    <mergeCell ref="L17:L22"/>
    <mergeCell ref="M17:M22"/>
    <mergeCell ref="A29:A34"/>
    <mergeCell ref="B29:B34"/>
    <mergeCell ref="F29:F34"/>
    <mergeCell ref="H29:H34"/>
    <mergeCell ref="I29:I34"/>
    <mergeCell ref="J29:J34"/>
    <mergeCell ref="K29:K34"/>
    <mergeCell ref="L29:L34"/>
    <mergeCell ref="M29:M34"/>
    <mergeCell ref="A47:A52"/>
    <mergeCell ref="B47:B52"/>
    <mergeCell ref="F47:F52"/>
    <mergeCell ref="H47:H52"/>
    <mergeCell ref="A41:A46"/>
    <mergeCell ref="B41:B46"/>
    <mergeCell ref="F41:F46"/>
    <mergeCell ref="H41:H46"/>
    <mergeCell ref="P35:P40"/>
    <mergeCell ref="M41:M46"/>
    <mergeCell ref="N41:N46"/>
    <mergeCell ref="O41:O46"/>
    <mergeCell ref="A35:A40"/>
    <mergeCell ref="B35:B40"/>
    <mergeCell ref="F35:F40"/>
    <mergeCell ref="H35:H40"/>
    <mergeCell ref="I35:I40"/>
    <mergeCell ref="M35:M40"/>
    <mergeCell ref="N35:N40"/>
    <mergeCell ref="J35:J40"/>
    <mergeCell ref="K35:K40"/>
    <mergeCell ref="L35:L40"/>
    <mergeCell ref="K41:K46"/>
    <mergeCell ref="L41:L46"/>
    <mergeCell ref="B65:AM65"/>
    <mergeCell ref="P53:P58"/>
    <mergeCell ref="Q53:Q58"/>
    <mergeCell ref="N59:N64"/>
    <mergeCell ref="O59:O64"/>
    <mergeCell ref="P59:P64"/>
    <mergeCell ref="Q59:Q64"/>
    <mergeCell ref="M53:M58"/>
    <mergeCell ref="N53:N58"/>
    <mergeCell ref="O53:O58"/>
    <mergeCell ref="D53:D58"/>
    <mergeCell ref="J53:J58"/>
    <mergeCell ref="K53:K58"/>
    <mergeCell ref="L53:L58"/>
    <mergeCell ref="A59:A64"/>
    <mergeCell ref="B59:B64"/>
    <mergeCell ref="F59:F64"/>
    <mergeCell ref="H59:H64"/>
    <mergeCell ref="I59:I64"/>
    <mergeCell ref="J59:J64"/>
    <mergeCell ref="K59:K64"/>
    <mergeCell ref="L59:L64"/>
    <mergeCell ref="M59:M64"/>
    <mergeCell ref="D59:D64"/>
    <mergeCell ref="G59:G64"/>
    <mergeCell ref="A53:A58"/>
    <mergeCell ref="B53:B58"/>
    <mergeCell ref="F53:F58"/>
    <mergeCell ref="H53:H58"/>
    <mergeCell ref="I53:I58"/>
    <mergeCell ref="R5:T5"/>
    <mergeCell ref="B9:B10"/>
    <mergeCell ref="E9:E10"/>
    <mergeCell ref="G9:G10"/>
    <mergeCell ref="D9:D10"/>
    <mergeCell ref="G17:G22"/>
    <mergeCell ref="G23:G28"/>
    <mergeCell ref="G29:G34"/>
    <mergeCell ref="G35:G40"/>
    <mergeCell ref="G41:G46"/>
    <mergeCell ref="G47:G52"/>
    <mergeCell ref="G53:G58"/>
    <mergeCell ref="D17:D22"/>
    <mergeCell ref="D23:D28"/>
    <mergeCell ref="D29:D34"/>
    <mergeCell ref="D35:D40"/>
    <mergeCell ref="D41:D46"/>
    <mergeCell ref="Q41:Q46"/>
    <mergeCell ref="I47:I52"/>
    <mergeCell ref="R4:T4"/>
    <mergeCell ref="A1:AM2"/>
    <mergeCell ref="A8:J8"/>
    <mergeCell ref="K8:Q8"/>
    <mergeCell ref="R8:Z8"/>
    <mergeCell ref="AA8:AG8"/>
    <mergeCell ref="AH8:AM8"/>
    <mergeCell ref="AH9:AH10"/>
    <mergeCell ref="AM9:AM10"/>
    <mergeCell ref="AL9:AL10"/>
    <mergeCell ref="AK9:AK10"/>
    <mergeCell ref="AJ9:AJ10"/>
    <mergeCell ref="AI9:AI10"/>
    <mergeCell ref="A9:A10"/>
    <mergeCell ref="I9:I10"/>
    <mergeCell ref="H9:H10"/>
    <mergeCell ref="F9:F10"/>
    <mergeCell ref="C9:C10"/>
    <mergeCell ref="AG9:AG10"/>
    <mergeCell ref="D6:Q6"/>
    <mergeCell ref="D7:Q7"/>
    <mergeCell ref="R9:R10"/>
    <mergeCell ref="AF9:AF10"/>
    <mergeCell ref="AE9:AE10"/>
    <mergeCell ref="C53:C58"/>
    <mergeCell ref="C59:C64"/>
    <mergeCell ref="N47:N52"/>
    <mergeCell ref="O47:O52"/>
    <mergeCell ref="P47:P52"/>
    <mergeCell ref="Q47:Q52"/>
    <mergeCell ref="C17:C22"/>
    <mergeCell ref="C23:C28"/>
    <mergeCell ref="C29:C34"/>
    <mergeCell ref="C35:C40"/>
    <mergeCell ref="C41:C46"/>
    <mergeCell ref="C47:C52"/>
    <mergeCell ref="Q35:Q40"/>
    <mergeCell ref="O35:O40"/>
    <mergeCell ref="D47:D52"/>
    <mergeCell ref="P41:P46"/>
    <mergeCell ref="J47:J52"/>
    <mergeCell ref="K47:K52"/>
    <mergeCell ref="L47:L52"/>
    <mergeCell ref="M47:M52"/>
    <mergeCell ref="I41:I46"/>
    <mergeCell ref="J41:J46"/>
    <mergeCell ref="P23:P28"/>
    <mergeCell ref="Q23:Q28"/>
  </mergeCells>
  <conditionalFormatting sqref="K11 AB11:AB64 K17">
    <cfRule type="cellIs" dxfId="81" priority="320" operator="equal">
      <formula>"Alta"</formula>
    </cfRule>
    <cfRule type="cellIs" dxfId="80" priority="319" operator="equal">
      <formula>"Muy Alta"</formula>
    </cfRule>
    <cfRule type="cellIs" dxfId="79" priority="323" operator="equal">
      <formula>"Muy Baja"</formula>
    </cfRule>
    <cfRule type="cellIs" dxfId="78" priority="322" operator="equal">
      <formula>"Baja"</formula>
    </cfRule>
    <cfRule type="cellIs" dxfId="77" priority="321" operator="equal">
      <formula>"Media"</formula>
    </cfRule>
  </conditionalFormatting>
  <conditionalFormatting sqref="K23">
    <cfRule type="cellIs" dxfId="76" priority="225" operator="equal">
      <formula>"Muy Baja"</formula>
    </cfRule>
    <cfRule type="cellIs" dxfId="75" priority="224" operator="equal">
      <formula>"Baja"</formula>
    </cfRule>
    <cfRule type="cellIs" dxfId="74" priority="222" operator="equal">
      <formula>"Alta"</formula>
    </cfRule>
    <cfRule type="cellIs" dxfId="73" priority="221" operator="equal">
      <formula>"Muy Alta"</formula>
    </cfRule>
    <cfRule type="cellIs" dxfId="72" priority="223" operator="equal">
      <formula>"Media"</formula>
    </cfRule>
  </conditionalFormatting>
  <conditionalFormatting sqref="K29">
    <cfRule type="cellIs" dxfId="71" priority="194" operator="equal">
      <formula>"Alta"</formula>
    </cfRule>
    <cfRule type="cellIs" dxfId="70" priority="197" operator="equal">
      <formula>"Muy Baja"</formula>
    </cfRule>
    <cfRule type="cellIs" dxfId="69" priority="196" operator="equal">
      <formula>"Baja"</formula>
    </cfRule>
    <cfRule type="cellIs" dxfId="68" priority="195" operator="equal">
      <formula>"Media"</formula>
    </cfRule>
    <cfRule type="cellIs" dxfId="67" priority="193" operator="equal">
      <formula>"Muy Alta"</formula>
    </cfRule>
  </conditionalFormatting>
  <conditionalFormatting sqref="K35">
    <cfRule type="cellIs" dxfId="66" priority="141" operator="equal">
      <formula>"Muy Baja"</formula>
    </cfRule>
    <cfRule type="cellIs" dxfId="65" priority="137" operator="equal">
      <formula>"Muy Alta"</formula>
    </cfRule>
    <cfRule type="cellIs" dxfId="64" priority="138" operator="equal">
      <formula>"Alta"</formula>
    </cfRule>
    <cfRule type="cellIs" dxfId="63" priority="139" operator="equal">
      <formula>"Media"</formula>
    </cfRule>
    <cfRule type="cellIs" dxfId="62" priority="140" operator="equal">
      <formula>"Baja"</formula>
    </cfRule>
  </conditionalFormatting>
  <conditionalFormatting sqref="K41">
    <cfRule type="cellIs" dxfId="61" priority="109" operator="equal">
      <formula>"Muy Alta"</formula>
    </cfRule>
    <cfRule type="cellIs" dxfId="60" priority="110" operator="equal">
      <formula>"Alta"</formula>
    </cfRule>
    <cfRule type="cellIs" dxfId="59" priority="111" operator="equal">
      <formula>"Media"</formula>
    </cfRule>
    <cfRule type="cellIs" dxfId="58" priority="112" operator="equal">
      <formula>"Baja"</formula>
    </cfRule>
    <cfRule type="cellIs" dxfId="57" priority="113" operator="equal">
      <formula>"Muy Baja"</formula>
    </cfRule>
  </conditionalFormatting>
  <conditionalFormatting sqref="K47">
    <cfRule type="cellIs" dxfId="56" priority="85" operator="equal">
      <formula>"Muy Baja"</formula>
    </cfRule>
    <cfRule type="cellIs" dxfId="55" priority="81" operator="equal">
      <formula>"Muy Alta"</formula>
    </cfRule>
    <cfRule type="cellIs" dxfId="54" priority="82" operator="equal">
      <formula>"Alta"</formula>
    </cfRule>
    <cfRule type="cellIs" dxfId="53" priority="83" operator="equal">
      <formula>"Media"</formula>
    </cfRule>
    <cfRule type="cellIs" dxfId="52" priority="84" operator="equal">
      <formula>"Baja"</formula>
    </cfRule>
  </conditionalFormatting>
  <conditionalFormatting sqref="K53">
    <cfRule type="cellIs" dxfId="51" priority="54" operator="equal">
      <formula>"Alta"</formula>
    </cfRule>
    <cfRule type="cellIs" dxfId="50" priority="53" operator="equal">
      <formula>"Muy Alta"</formula>
    </cfRule>
    <cfRule type="cellIs" dxfId="49" priority="55" operator="equal">
      <formula>"Media"</formula>
    </cfRule>
    <cfRule type="cellIs" dxfId="48" priority="56" operator="equal">
      <formula>"Baja"</formula>
    </cfRule>
    <cfRule type="cellIs" dxfId="47" priority="57" operator="equal">
      <formula>"Muy Baja"</formula>
    </cfRule>
  </conditionalFormatting>
  <conditionalFormatting sqref="K59">
    <cfRule type="cellIs" dxfId="46" priority="25" operator="equal">
      <formula>"Muy Alta"</formula>
    </cfRule>
    <cfRule type="cellIs" dxfId="45" priority="26" operator="equal">
      <formula>"Alta"</formula>
    </cfRule>
    <cfRule type="cellIs" dxfId="44" priority="27" operator="equal">
      <formula>"Media"</formula>
    </cfRule>
    <cfRule type="cellIs" dxfId="43" priority="28" operator="equal">
      <formula>"Baja"</formula>
    </cfRule>
    <cfRule type="cellIs" dxfId="42" priority="29" operator="equal">
      <formula>"Muy Baja"</formula>
    </cfRule>
  </conditionalFormatting>
  <conditionalFormatting sqref="N11:N64">
    <cfRule type="containsText" dxfId="41" priority="1" operator="containsText" text="❌">
      <formula>NOT(ISERROR(SEARCH("❌",N11)))</formula>
    </cfRule>
  </conditionalFormatting>
  <conditionalFormatting sqref="O11 AD11:AD64 O17 O23 O29 O35 O41 O47 O53 O59">
    <cfRule type="cellIs" dxfId="40" priority="318" operator="equal">
      <formula>"Leve"</formula>
    </cfRule>
    <cfRule type="cellIs" dxfId="39" priority="317" operator="equal">
      <formula>"Menor"</formula>
    </cfRule>
    <cfRule type="cellIs" dxfId="38" priority="315" operator="equal">
      <formula>"Mayor"</formula>
    </cfRule>
    <cfRule type="cellIs" dxfId="37" priority="314" operator="equal">
      <formula>"Catastrófico"</formula>
    </cfRule>
    <cfRule type="cellIs" dxfId="36" priority="316" operator="equal">
      <formula>"Moderado"</formula>
    </cfRule>
  </conditionalFormatting>
  <conditionalFormatting sqref="Q11 AF11:AF64">
    <cfRule type="cellIs" dxfId="35" priority="312" operator="equal">
      <formula>"Moderado"</formula>
    </cfRule>
    <cfRule type="cellIs" dxfId="34" priority="313" operator="equal">
      <formula>"Bajo"</formula>
    </cfRule>
    <cfRule type="cellIs" dxfId="33" priority="310" operator="equal">
      <formula>"Extremo"</formula>
    </cfRule>
    <cfRule type="cellIs" dxfId="32" priority="311" operator="equal">
      <formula>"Alto"</formula>
    </cfRule>
  </conditionalFormatting>
  <conditionalFormatting sqref="Q17">
    <cfRule type="cellIs" dxfId="31" priority="240" operator="equal">
      <formula>"Extremo"</formula>
    </cfRule>
    <cfRule type="cellIs" dxfId="30" priority="241" operator="equal">
      <formula>"Alto"</formula>
    </cfRule>
    <cfRule type="cellIs" dxfId="29" priority="242" operator="equal">
      <formula>"Moderado"</formula>
    </cfRule>
    <cfRule type="cellIs" dxfId="28" priority="243" operator="equal">
      <formula>"Bajo"</formula>
    </cfRule>
  </conditionalFormatting>
  <conditionalFormatting sqref="Q23">
    <cfRule type="cellIs" dxfId="27" priority="212" operator="equal">
      <formula>"Extremo"</formula>
    </cfRule>
    <cfRule type="cellIs" dxfId="26" priority="213" operator="equal">
      <formula>"Alto"</formula>
    </cfRule>
    <cfRule type="cellIs" dxfId="25" priority="214" operator="equal">
      <formula>"Moderado"</formula>
    </cfRule>
    <cfRule type="cellIs" dxfId="24" priority="215" operator="equal">
      <formula>"Bajo"</formula>
    </cfRule>
  </conditionalFormatting>
  <conditionalFormatting sqref="Q29">
    <cfRule type="cellIs" dxfId="23" priority="187" operator="equal">
      <formula>"Bajo"</formula>
    </cfRule>
    <cfRule type="cellIs" dxfId="22" priority="186" operator="equal">
      <formula>"Moderado"</formula>
    </cfRule>
    <cfRule type="cellIs" dxfId="21" priority="185" operator="equal">
      <formula>"Alto"</formula>
    </cfRule>
    <cfRule type="cellIs" dxfId="20" priority="184" operator="equal">
      <formula>"Extremo"</formula>
    </cfRule>
  </conditionalFormatting>
  <conditionalFormatting sqref="Q35">
    <cfRule type="cellIs" dxfId="19" priority="131" operator="equal">
      <formula>"Bajo"</formula>
    </cfRule>
    <cfRule type="cellIs" dxfId="18" priority="130" operator="equal">
      <formula>"Moderado"</formula>
    </cfRule>
    <cfRule type="cellIs" dxfId="17" priority="129" operator="equal">
      <formula>"Alto"</formula>
    </cfRule>
    <cfRule type="cellIs" dxfId="16" priority="128" operator="equal">
      <formula>"Extremo"</formula>
    </cfRule>
  </conditionalFormatting>
  <conditionalFormatting sqref="Q41">
    <cfRule type="cellIs" dxfId="15" priority="103" operator="equal">
      <formula>"Bajo"</formula>
    </cfRule>
    <cfRule type="cellIs" dxfId="14" priority="102" operator="equal">
      <formula>"Moderado"</formula>
    </cfRule>
    <cfRule type="cellIs" dxfId="13" priority="101" operator="equal">
      <formula>"Alto"</formula>
    </cfRule>
    <cfRule type="cellIs" dxfId="12" priority="100" operator="equal">
      <formula>"Extremo"</formula>
    </cfRule>
  </conditionalFormatting>
  <conditionalFormatting sqref="Q47">
    <cfRule type="cellIs" dxfId="11" priority="75" operator="equal">
      <formula>"Bajo"</formula>
    </cfRule>
    <cfRule type="cellIs" dxfId="10" priority="73" operator="equal">
      <formula>"Alto"</formula>
    </cfRule>
    <cfRule type="cellIs" dxfId="9" priority="74" operator="equal">
      <formula>"Moderado"</formula>
    </cfRule>
    <cfRule type="cellIs" dxfId="8" priority="72" operator="equal">
      <formula>"Extremo"</formula>
    </cfRule>
  </conditionalFormatting>
  <conditionalFormatting sqref="Q53">
    <cfRule type="cellIs" dxfId="7" priority="45" operator="equal">
      <formula>"Alto"</formula>
    </cfRule>
    <cfRule type="cellIs" dxfId="6" priority="44" operator="equal">
      <formula>"Extremo"</formula>
    </cfRule>
    <cfRule type="cellIs" dxfId="5" priority="47" operator="equal">
      <formula>"Bajo"</formula>
    </cfRule>
    <cfRule type="cellIs" dxfId="4" priority="46" operator="equal">
      <formula>"Moderado"</formula>
    </cfRule>
  </conditionalFormatting>
  <conditionalFormatting sqref="Q59">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pageMargins left="0.7" right="0.7" top="0.75" bottom="0.75" header="0.3" footer="0.3"/>
  <pageSetup orientation="portrait" r:id="rId1"/>
  <ignoredErrors>
    <ignoredError sqref="AE13" formula="1"/>
  </ignoredErrors>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D000000}">
          <x14:formula1>
            <xm:f>Procesos!$D$16:$D$22</xm:f>
          </x14:formula1>
          <xm:sqref>D23 D11 D29 D35 D41 D47 D53 D17 B11 B17 B53 B47 B41 B35 B29 B23 B59 D59</xm:sqref>
        </x14:dataValidation>
        <x14:dataValidation type="list" allowBlank="1" showInputMessage="1" showErrorMessage="1" xr:uid="{00000000-0002-0000-0100-00000E000000}">
          <x14:formula1>
            <xm:f>Procesos!$E$2:$E$27</xm:f>
          </x14:formula1>
          <xm:sqref>D5:Q5</xm:sqref>
        </x14:dataValidation>
        <x14:dataValidation type="list" allowBlank="1" showInputMessage="1" showErrorMessage="1" xr:uid="{00000000-0002-0000-0100-000012000000}">
          <x14:formula1>
            <xm:f>Procesos!$A$2:$A$22</xm:f>
          </x14:formula1>
          <xm:sqref>D4:Q4</xm:sqref>
        </x14:dataValidation>
        <x14:dataValidation type="list" allowBlank="1" showInputMessage="1" showErrorMessage="1" xr:uid="{00000000-0002-0000-0100-000000000000}">
          <x14:formula1>
            <xm:f>'Tabla Valoración controles'!$D$4:$D$6</xm:f>
          </x14:formula1>
          <xm:sqref>U11:U64</xm:sqref>
        </x14:dataValidation>
        <x14:dataValidation type="list" allowBlank="1" showInputMessage="1" showErrorMessage="1" xr:uid="{00000000-0002-0000-0100-000001000000}">
          <x14:formula1>
            <xm:f>'Tabla Valoración controles'!$D$7:$D$8</xm:f>
          </x14:formula1>
          <xm:sqref>V11:V64</xm:sqref>
        </x14:dataValidation>
        <x14:dataValidation type="list" allowBlank="1" showInputMessage="1" showErrorMessage="1" xr:uid="{00000000-0002-0000-0100-000002000000}">
          <x14:formula1>
            <xm:f>'Tabla Valoración controles'!$D$9:$D$10</xm:f>
          </x14:formula1>
          <xm:sqref>X11:X64</xm:sqref>
        </x14:dataValidation>
        <x14:dataValidation type="list" allowBlank="1" showInputMessage="1" showErrorMessage="1" xr:uid="{00000000-0002-0000-0100-000003000000}">
          <x14:formula1>
            <xm:f>'Tabla Valoración controles'!$D$11:$D$12</xm:f>
          </x14:formula1>
          <xm:sqref>Y11:Y64</xm:sqref>
        </x14:dataValidation>
        <x14:dataValidation type="list" allowBlank="1" showInputMessage="1" showErrorMessage="1" xr:uid="{00000000-0002-0000-0100-000004000000}">
          <x14:formula1>
            <xm:f>'Tabla Valoración controles'!$D$13:$D$14</xm:f>
          </x14:formula1>
          <xm:sqref>Z11:Z64</xm:sqref>
        </x14:dataValidation>
        <x14:dataValidation type="list" allowBlank="1" showInputMessage="1" showErrorMessage="1" xr:uid="{00000000-0002-0000-0100-000005000000}">
          <x14:formula1>
            <xm:f>'Opciones Tratamiento'!$E$2:$E$4</xm:f>
          </x14:formula1>
          <xm:sqref>D11:D64</xm:sqref>
        </x14:dataValidation>
        <x14:dataValidation type="list" allowBlank="1" showInputMessage="1" showErrorMessage="1" xr:uid="{00000000-0002-0000-0100-000006000000}">
          <x14:formula1>
            <xm:f>'Opciones Tratamiento'!$B$2:$B$5</xm:f>
          </x14:formula1>
          <xm:sqref>AG11:AG64</xm:sqref>
        </x14:dataValidation>
        <x14:dataValidation type="list" allowBlank="1" showInputMessage="1" showErrorMessage="1" xr:uid="{00000000-0002-0000-0100-000007000000}">
          <x14:formula1>
            <xm:f>'Tabla Impacto'!$F$210:$F$221</xm:f>
          </x14:formula1>
          <xm:sqref>M11:M64</xm:sqref>
        </x14:dataValidation>
        <x14:dataValidation type="custom" allowBlank="1" showInputMessage="1" showErrorMessage="1" error="Recuerde que las acciones se generan bajo la medida de mitigar el riesgo" xr:uid="{00000000-0002-0000-0100-000008000000}">
          <x14:formula1>
            <xm:f>IF(OR(AG11='Opciones Tratamiento'!$B$2,AG11='Opciones Tratamiento'!$B$3,AG11='Opciones Tratamiento'!$B$4),ISBLANK(AG11),ISTEXT(AG11))</xm:f>
          </x14:formula1>
          <xm:sqref>AH11:AH64</xm:sqref>
        </x14:dataValidation>
        <x14:dataValidation type="custom" allowBlank="1" showInputMessage="1" showErrorMessage="1" error="Recuerde que las acciones se generan bajo la medida de mitigar el riesgo" xr:uid="{00000000-0002-0000-0100-000009000000}">
          <x14:formula1>
            <xm:f>IF(OR(AG11='Opciones Tratamiento'!$B$2,AG11='Opciones Tratamiento'!$B$3,AG11='Opciones Tratamiento'!$B$4),ISBLANK(AG11),ISTEXT(AG11))</xm:f>
          </x14:formula1>
          <xm:sqref>AI11:AI64</xm:sqref>
        </x14:dataValidation>
        <x14:dataValidation type="custom" allowBlank="1" showInputMessage="1" showErrorMessage="1" error="Recuerde que las acciones se generan bajo la medida de mitigar el riesgo" xr:uid="{00000000-0002-0000-0100-00000A000000}">
          <x14:formula1>
            <xm:f>IF(OR(AG11='Opciones Tratamiento'!$B$2,AG11='Opciones Tratamiento'!$B$3,AG11='Opciones Tratamiento'!$B$4),ISBLANK(AG11),ISTEXT(AG11))</xm:f>
          </x14:formula1>
          <xm:sqref>AJ11:AJ64</xm:sqref>
        </x14:dataValidation>
        <x14:dataValidation type="custom" allowBlank="1" showInputMessage="1" showErrorMessage="1" error="Recuerde que las acciones se generan bajo la medida de mitigar el riesgo" xr:uid="{00000000-0002-0000-0100-00000B000000}">
          <x14:formula1>
            <xm:f>IF(OR(AG11='Opciones Tratamiento'!$B$2,AG11='Opciones Tratamiento'!$B$3,AG11='Opciones Tratamiento'!$B$4),ISBLANK(AG11),ISTEXT(AG11))</xm:f>
          </x14:formula1>
          <xm:sqref>AK11:AK64</xm:sqref>
        </x14:dataValidation>
        <x14:dataValidation type="custom" allowBlank="1" showInputMessage="1" showErrorMessage="1" error="Recuerde que las acciones se generan bajo la medida de mitigar el riesgo" xr:uid="{00000000-0002-0000-0100-00000C000000}">
          <x14:formula1>
            <xm:f>IF(OR(AG11='Opciones Tratamiento'!$B$2,AG11='Opciones Tratamiento'!$B$3,AG11='Opciones Tratamiento'!$B$4),ISBLANK(AG11),ISTEXT(AG11))</xm:f>
          </x14:formula1>
          <xm:sqref>AL11:AL64</xm:sqref>
        </x14:dataValidation>
        <x14:dataValidation type="list" allowBlank="1" showInputMessage="1" showErrorMessage="1" xr:uid="{00000000-0002-0000-0100-00000F000000}">
          <x14:formula1>
            <xm:f>'Tabla Impacto'!$D$229:$D$237</xm:f>
          </x14:formula1>
          <xm:sqref>G11:G40</xm:sqref>
        </x14:dataValidation>
        <x14:dataValidation type="list" allowBlank="1" showInputMessage="1" showErrorMessage="1" xr:uid="{00000000-0002-0000-0100-000010000000}">
          <x14:formula1>
            <xm:f>'Opciones Tratamiento'!$B$9:$B$11</xm:f>
          </x14:formula1>
          <xm:sqref>AM11:AM64</xm:sqref>
        </x14:dataValidation>
        <x14:dataValidation type="list" allowBlank="1" showInputMessage="1" showErrorMessage="1" xr:uid="{00000000-0002-0000-0100-000011000000}">
          <x14:formula1>
            <xm:f>'Opciones Tratamiento'!$B$13:$B$19</xm:f>
          </x14:formula1>
          <xm:sqref>I11:I64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12" sqref="J12:K13"/>
    </sheetView>
  </sheetViews>
  <sheetFormatPr baseColWidth="10" defaultRowHeight="15" x14ac:dyDescent="0.25"/>
  <cols>
    <col min="2" max="39" width="5.5703125" customWidth="1"/>
    <col min="41" max="46" width="5.570312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351" t="s">
        <v>143</v>
      </c>
      <c r="C2" s="351"/>
      <c r="D2" s="351"/>
      <c r="E2" s="351"/>
      <c r="F2" s="351"/>
      <c r="G2" s="351"/>
      <c r="H2" s="351"/>
      <c r="I2" s="351"/>
      <c r="J2" s="319" t="s">
        <v>2</v>
      </c>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351"/>
      <c r="C3" s="351"/>
      <c r="D3" s="351"/>
      <c r="E3" s="351"/>
      <c r="F3" s="351"/>
      <c r="G3" s="351"/>
      <c r="H3" s="351"/>
      <c r="I3" s="351"/>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351"/>
      <c r="C4" s="351"/>
      <c r="D4" s="351"/>
      <c r="E4" s="351"/>
      <c r="F4" s="351"/>
      <c r="G4" s="351"/>
      <c r="H4" s="351"/>
      <c r="I4" s="351"/>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266" t="s">
        <v>3</v>
      </c>
      <c r="C6" s="266"/>
      <c r="D6" s="267"/>
      <c r="E6" s="304" t="s">
        <v>108</v>
      </c>
      <c r="F6" s="305"/>
      <c r="G6" s="305"/>
      <c r="H6" s="305"/>
      <c r="I6" s="306"/>
      <c r="J6" s="315" t="str">
        <f ca="1">IF(AND('Mapa final'!$K$11="Muy Alta",'Mapa final'!$O$11="Leve"),CONCATENATE("R",'Mapa final'!$A$11),"")</f>
        <v/>
      </c>
      <c r="K6" s="316"/>
      <c r="L6" s="316" t="str">
        <f ca="1">IF(AND('Mapa final'!$K$17="Muy Alta",'Mapa final'!$O$17="Leve"),CONCATENATE("R",'Mapa final'!$A$17),"")</f>
        <v/>
      </c>
      <c r="M6" s="316"/>
      <c r="N6" s="316" t="str">
        <f ca="1">IF(AND('Mapa final'!$K$23="Muy Alta",'Mapa final'!$O$23="Leve"),CONCATENATE("R",'Mapa final'!$A$23),"")</f>
        <v/>
      </c>
      <c r="O6" s="318"/>
      <c r="P6" s="315" t="str">
        <f ca="1">IF(AND('Mapa final'!$K$11="Muy Alta",'Mapa final'!$O$11="Menor"),CONCATENATE("R",'Mapa final'!$A$11),"")</f>
        <v/>
      </c>
      <c r="Q6" s="316"/>
      <c r="R6" s="316" t="str">
        <f ca="1">IF(AND('Mapa final'!$K$17="Muy Alta",'Mapa final'!$O$17="Menor"),CONCATENATE("R",'Mapa final'!$A$17),"")</f>
        <v/>
      </c>
      <c r="S6" s="316"/>
      <c r="T6" s="316" t="str">
        <f ca="1">IF(AND('Mapa final'!$K$23="Muy Alta",'Mapa final'!$O$23="Menor"),CONCATENATE("R",'Mapa final'!$A$23),"")</f>
        <v/>
      </c>
      <c r="U6" s="318"/>
      <c r="V6" s="315" t="str">
        <f ca="1">IF(AND('Mapa final'!$K$11="Muy Alta",'Mapa final'!$O$11="Moderado"),CONCATENATE("R",'Mapa final'!$A$11),"")</f>
        <v>R1</v>
      </c>
      <c r="W6" s="316"/>
      <c r="X6" s="316" t="str">
        <f ca="1">IF(AND('Mapa final'!$K$17="Muy Alta",'Mapa final'!$O$17="Moderado"),CONCATENATE("R",'Mapa final'!$A$17),"")</f>
        <v/>
      </c>
      <c r="Y6" s="316"/>
      <c r="Z6" s="316" t="str">
        <f ca="1">IF(AND('Mapa final'!$K$23="Muy Alta",'Mapa final'!$O$23="Moderado"),CONCATENATE("R",'Mapa final'!$A$23),"")</f>
        <v/>
      </c>
      <c r="AA6" s="318"/>
      <c r="AB6" s="315" t="str">
        <f ca="1">IF(AND('Mapa final'!$K$11="Muy Alta",'Mapa final'!$O$11="Mayor"),CONCATENATE("R",'Mapa final'!$A$11),"")</f>
        <v/>
      </c>
      <c r="AC6" s="316"/>
      <c r="AD6" s="316" t="str">
        <f ca="1">IF(AND('Mapa final'!$K$17="Muy Alta",'Mapa final'!$O$17="Mayor"),CONCATENATE("R",'Mapa final'!$A$17),"")</f>
        <v/>
      </c>
      <c r="AE6" s="316"/>
      <c r="AF6" s="316" t="str">
        <f ca="1">IF(AND('Mapa final'!$K$23="Muy Alta",'Mapa final'!$O$23="Mayor"),CONCATENATE("R",'Mapa final'!$A$23),"")</f>
        <v/>
      </c>
      <c r="AG6" s="318"/>
      <c r="AH6" s="330" t="str">
        <f ca="1">IF(AND('Mapa final'!$K$11="Muy Alta",'Mapa final'!$O$11="Catastrófico"),CONCATENATE("R",'Mapa final'!$A$11),"")</f>
        <v/>
      </c>
      <c r="AI6" s="331"/>
      <c r="AJ6" s="331" t="str">
        <f ca="1">IF(AND('Mapa final'!$K$17="Muy Alta",'Mapa final'!$O$17="Catastrófico"),CONCATENATE("R",'Mapa final'!$A$17),"")</f>
        <v/>
      </c>
      <c r="AK6" s="331"/>
      <c r="AL6" s="331" t="str">
        <f ca="1">IF(AND('Mapa final'!$K$23="Muy Alta",'Mapa final'!$O$23="Catastrófico"),CONCATENATE("R",'Mapa final'!$A$23),"")</f>
        <v/>
      </c>
      <c r="AM6" s="332"/>
      <c r="AO6" s="268" t="s">
        <v>76</v>
      </c>
      <c r="AP6" s="269"/>
      <c r="AQ6" s="269"/>
      <c r="AR6" s="269"/>
      <c r="AS6" s="269"/>
      <c r="AT6" s="270"/>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266"/>
      <c r="C7" s="266"/>
      <c r="D7" s="267"/>
      <c r="E7" s="307"/>
      <c r="F7" s="308"/>
      <c r="G7" s="308"/>
      <c r="H7" s="308"/>
      <c r="I7" s="309"/>
      <c r="J7" s="317"/>
      <c r="K7" s="313"/>
      <c r="L7" s="313"/>
      <c r="M7" s="313"/>
      <c r="N7" s="313"/>
      <c r="O7" s="314"/>
      <c r="P7" s="317"/>
      <c r="Q7" s="313"/>
      <c r="R7" s="313"/>
      <c r="S7" s="313"/>
      <c r="T7" s="313"/>
      <c r="U7" s="314"/>
      <c r="V7" s="317"/>
      <c r="W7" s="313"/>
      <c r="X7" s="313"/>
      <c r="Y7" s="313"/>
      <c r="Z7" s="313"/>
      <c r="AA7" s="314"/>
      <c r="AB7" s="317"/>
      <c r="AC7" s="313"/>
      <c r="AD7" s="313"/>
      <c r="AE7" s="313"/>
      <c r="AF7" s="313"/>
      <c r="AG7" s="314"/>
      <c r="AH7" s="324"/>
      <c r="AI7" s="325"/>
      <c r="AJ7" s="325"/>
      <c r="AK7" s="325"/>
      <c r="AL7" s="325"/>
      <c r="AM7" s="326"/>
      <c r="AN7" s="82"/>
      <c r="AO7" s="271"/>
      <c r="AP7" s="272"/>
      <c r="AQ7" s="272"/>
      <c r="AR7" s="272"/>
      <c r="AS7" s="272"/>
      <c r="AT7" s="273"/>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266"/>
      <c r="C8" s="266"/>
      <c r="D8" s="267"/>
      <c r="E8" s="307"/>
      <c r="F8" s="308"/>
      <c r="G8" s="308"/>
      <c r="H8" s="308"/>
      <c r="I8" s="309"/>
      <c r="J8" s="317" t="str">
        <f ca="1">IF(AND('Mapa final'!$K$29="Muy Alta",'Mapa final'!$O$29="Leve"),CONCATENATE("R",'Mapa final'!$A$29),"")</f>
        <v/>
      </c>
      <c r="K8" s="313"/>
      <c r="L8" s="313" t="e">
        <f>IF(AND('Mapa final'!#REF!="Muy Alta",'Mapa final'!#REF!="Leve"),CONCATENATE("R",'Mapa final'!#REF!),"")</f>
        <v>#REF!</v>
      </c>
      <c r="M8" s="313"/>
      <c r="N8" s="313" t="str">
        <f ca="1">IF(AND('Mapa final'!$K$35="Muy Alta",'Mapa final'!$O$35="Leve"),CONCATENATE("R",'Mapa final'!$A$35),"")</f>
        <v/>
      </c>
      <c r="O8" s="314"/>
      <c r="P8" s="317" t="str">
        <f ca="1">IF(AND('Mapa final'!$K$29="Muy Alta",'Mapa final'!$O$29="Menor"),CONCATENATE("R",'Mapa final'!$A$29),"")</f>
        <v/>
      </c>
      <c r="Q8" s="313"/>
      <c r="R8" s="313" t="e">
        <f>IF(AND('Mapa final'!#REF!="Muy Alta",'Mapa final'!#REF!="Menor"),CONCATENATE("R",'Mapa final'!#REF!),"")</f>
        <v>#REF!</v>
      </c>
      <c r="S8" s="313"/>
      <c r="T8" s="313" t="str">
        <f ca="1">IF(AND('Mapa final'!$K$35="Muy Alta",'Mapa final'!$O$35="Menor"),CONCATENATE("R",'Mapa final'!$A$35),"")</f>
        <v/>
      </c>
      <c r="U8" s="314"/>
      <c r="V8" s="317" t="str">
        <f ca="1">IF(AND('Mapa final'!$K$29="Muy Alta",'Mapa final'!$O$29="Moderado"),CONCATENATE("R",'Mapa final'!$A$29),"")</f>
        <v/>
      </c>
      <c r="W8" s="313"/>
      <c r="X8" s="313" t="e">
        <f>IF(AND('Mapa final'!#REF!="Muy Alta",'Mapa final'!#REF!="Moderado"),CONCATENATE("R",'Mapa final'!#REF!),"")</f>
        <v>#REF!</v>
      </c>
      <c r="Y8" s="313"/>
      <c r="Z8" s="313" t="str">
        <f ca="1">IF(AND('Mapa final'!$K$35="Muy Alta",'Mapa final'!$O$35="Moderado"),CONCATENATE("R",'Mapa final'!$A$35),"")</f>
        <v/>
      </c>
      <c r="AA8" s="314"/>
      <c r="AB8" s="317" t="str">
        <f ca="1">IF(AND('Mapa final'!$K$29="Muy Alta",'Mapa final'!$O$29="Mayor"),CONCATENATE("R",'Mapa final'!$A$29),"")</f>
        <v/>
      </c>
      <c r="AC8" s="313"/>
      <c r="AD8" s="313" t="e">
        <f>IF(AND('Mapa final'!#REF!="Muy Alta",'Mapa final'!#REF!="Mayor"),CONCATENATE("R",'Mapa final'!#REF!),"")</f>
        <v>#REF!</v>
      </c>
      <c r="AE8" s="313"/>
      <c r="AF8" s="313" t="str">
        <f ca="1">IF(AND('Mapa final'!$K$35="Muy Alta",'Mapa final'!$O$35="Mayor"),CONCATENATE("R",'Mapa final'!$A$35),"")</f>
        <v/>
      </c>
      <c r="AG8" s="314"/>
      <c r="AH8" s="324" t="str">
        <f ca="1">IF(AND('Mapa final'!$K$29="Muy Alta",'Mapa final'!$O$29="Catastrófico"),CONCATENATE("R",'Mapa final'!$A$29),"")</f>
        <v/>
      </c>
      <c r="AI8" s="325"/>
      <c r="AJ8" s="325" t="e">
        <f>IF(AND('Mapa final'!#REF!="Muy Alta",'Mapa final'!#REF!="Catastrófico"),CONCATENATE("R",'Mapa final'!#REF!),"")</f>
        <v>#REF!</v>
      </c>
      <c r="AK8" s="325"/>
      <c r="AL8" s="325" t="str">
        <f ca="1">IF(AND('Mapa final'!$K$35="Muy Alta",'Mapa final'!$O$35="Catastrófico"),CONCATENATE("R",'Mapa final'!$A$35),"")</f>
        <v/>
      </c>
      <c r="AM8" s="326"/>
      <c r="AN8" s="82"/>
      <c r="AO8" s="271"/>
      <c r="AP8" s="272"/>
      <c r="AQ8" s="272"/>
      <c r="AR8" s="272"/>
      <c r="AS8" s="272"/>
      <c r="AT8" s="273"/>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266"/>
      <c r="C9" s="266"/>
      <c r="D9" s="267"/>
      <c r="E9" s="307"/>
      <c r="F9" s="308"/>
      <c r="G9" s="308"/>
      <c r="H9" s="308"/>
      <c r="I9" s="309"/>
      <c r="J9" s="317"/>
      <c r="K9" s="313"/>
      <c r="L9" s="313"/>
      <c r="M9" s="313"/>
      <c r="N9" s="313"/>
      <c r="O9" s="314"/>
      <c r="P9" s="317"/>
      <c r="Q9" s="313"/>
      <c r="R9" s="313"/>
      <c r="S9" s="313"/>
      <c r="T9" s="313"/>
      <c r="U9" s="314"/>
      <c r="V9" s="317"/>
      <c r="W9" s="313"/>
      <c r="X9" s="313"/>
      <c r="Y9" s="313"/>
      <c r="Z9" s="313"/>
      <c r="AA9" s="314"/>
      <c r="AB9" s="317"/>
      <c r="AC9" s="313"/>
      <c r="AD9" s="313"/>
      <c r="AE9" s="313"/>
      <c r="AF9" s="313"/>
      <c r="AG9" s="314"/>
      <c r="AH9" s="324"/>
      <c r="AI9" s="325"/>
      <c r="AJ9" s="325"/>
      <c r="AK9" s="325"/>
      <c r="AL9" s="325"/>
      <c r="AM9" s="326"/>
      <c r="AN9" s="82"/>
      <c r="AO9" s="271"/>
      <c r="AP9" s="272"/>
      <c r="AQ9" s="272"/>
      <c r="AR9" s="272"/>
      <c r="AS9" s="272"/>
      <c r="AT9" s="273"/>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266"/>
      <c r="C10" s="266"/>
      <c r="D10" s="267"/>
      <c r="E10" s="307"/>
      <c r="F10" s="308"/>
      <c r="G10" s="308"/>
      <c r="H10" s="308"/>
      <c r="I10" s="309"/>
      <c r="J10" s="317" t="str">
        <f ca="1">IF(AND('Mapa final'!$K$41="Muy Alta",'Mapa final'!$O$41="Leve"),CONCATENATE("R",'Mapa final'!$A$41),"")</f>
        <v/>
      </c>
      <c r="K10" s="313"/>
      <c r="L10" s="313" t="str">
        <f ca="1">IF(AND('Mapa final'!$K$47="Muy Alta",'Mapa final'!$O$47="Leve"),CONCATENATE("R",'Mapa final'!$A$47),"")</f>
        <v/>
      </c>
      <c r="M10" s="313"/>
      <c r="N10" s="313" t="str">
        <f ca="1">IF(AND('Mapa final'!$K$53="Muy Alta",'Mapa final'!$O$53="Leve"),CONCATENATE("R",'Mapa final'!$A$53),"")</f>
        <v/>
      </c>
      <c r="O10" s="314"/>
      <c r="P10" s="317" t="str">
        <f ca="1">IF(AND('Mapa final'!$K$41="Muy Alta",'Mapa final'!$O$41="Menor"),CONCATENATE("R",'Mapa final'!$A$41),"")</f>
        <v/>
      </c>
      <c r="Q10" s="313"/>
      <c r="R10" s="313" t="str">
        <f ca="1">IF(AND('Mapa final'!$K$47="Muy Alta",'Mapa final'!$O$47="Menor"),CONCATENATE("R",'Mapa final'!$A$47),"")</f>
        <v/>
      </c>
      <c r="S10" s="313"/>
      <c r="T10" s="313" t="str">
        <f ca="1">IF(AND('Mapa final'!$K$53="Muy Alta",'Mapa final'!$O$53="Menor"),CONCATENATE("R",'Mapa final'!$A$53),"")</f>
        <v/>
      </c>
      <c r="U10" s="314"/>
      <c r="V10" s="317" t="str">
        <f ca="1">IF(AND('Mapa final'!$K$41="Muy Alta",'Mapa final'!$O$41="Moderado"),CONCATENATE("R",'Mapa final'!$A$41),"")</f>
        <v/>
      </c>
      <c r="W10" s="313"/>
      <c r="X10" s="313" t="str">
        <f ca="1">IF(AND('Mapa final'!$K$47="Muy Alta",'Mapa final'!$O$47="Moderado"),CONCATENATE("R",'Mapa final'!$A$47),"")</f>
        <v/>
      </c>
      <c r="Y10" s="313"/>
      <c r="Z10" s="313" t="str">
        <f ca="1">IF(AND('Mapa final'!$K$53="Muy Alta",'Mapa final'!$O$53="Moderado"),CONCATENATE("R",'Mapa final'!$A$53),"")</f>
        <v/>
      </c>
      <c r="AA10" s="314"/>
      <c r="AB10" s="317" t="str">
        <f ca="1">IF(AND('Mapa final'!$K$41="Muy Alta",'Mapa final'!$O$41="Mayor"),CONCATENATE("R",'Mapa final'!$A$41),"")</f>
        <v/>
      </c>
      <c r="AC10" s="313"/>
      <c r="AD10" s="313" t="str">
        <f ca="1">IF(AND('Mapa final'!$K$47="Muy Alta",'Mapa final'!$O$47="Mayor"),CONCATENATE("R",'Mapa final'!$A$47),"")</f>
        <v/>
      </c>
      <c r="AE10" s="313"/>
      <c r="AF10" s="313" t="str">
        <f ca="1">IF(AND('Mapa final'!$K$53="Muy Alta",'Mapa final'!$O$53="Mayor"),CONCATENATE("R",'Mapa final'!$A$53),"")</f>
        <v/>
      </c>
      <c r="AG10" s="314"/>
      <c r="AH10" s="324" t="str">
        <f ca="1">IF(AND('Mapa final'!$K$41="Muy Alta",'Mapa final'!$O$41="Catastrófico"),CONCATENATE("R",'Mapa final'!$A$41),"")</f>
        <v/>
      </c>
      <c r="AI10" s="325"/>
      <c r="AJ10" s="325" t="str">
        <f ca="1">IF(AND('Mapa final'!$K$47="Muy Alta",'Mapa final'!$O$47="Catastrófico"),CONCATENATE("R",'Mapa final'!$A$47),"")</f>
        <v/>
      </c>
      <c r="AK10" s="325"/>
      <c r="AL10" s="325" t="str">
        <f ca="1">IF(AND('Mapa final'!$K$53="Muy Alta",'Mapa final'!$O$53="Catastrófico"),CONCATENATE("R",'Mapa final'!$A$53),"")</f>
        <v/>
      </c>
      <c r="AM10" s="326"/>
      <c r="AN10" s="82"/>
      <c r="AO10" s="271"/>
      <c r="AP10" s="272"/>
      <c r="AQ10" s="272"/>
      <c r="AR10" s="272"/>
      <c r="AS10" s="272"/>
      <c r="AT10" s="273"/>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266"/>
      <c r="C11" s="266"/>
      <c r="D11" s="267"/>
      <c r="E11" s="307"/>
      <c r="F11" s="308"/>
      <c r="G11" s="308"/>
      <c r="H11" s="308"/>
      <c r="I11" s="309"/>
      <c r="J11" s="317"/>
      <c r="K11" s="313"/>
      <c r="L11" s="313"/>
      <c r="M11" s="313"/>
      <c r="N11" s="313"/>
      <c r="O11" s="314"/>
      <c r="P11" s="317"/>
      <c r="Q11" s="313"/>
      <c r="R11" s="313"/>
      <c r="S11" s="313"/>
      <c r="T11" s="313"/>
      <c r="U11" s="314"/>
      <c r="V11" s="317"/>
      <c r="W11" s="313"/>
      <c r="X11" s="313"/>
      <c r="Y11" s="313"/>
      <c r="Z11" s="313"/>
      <c r="AA11" s="314"/>
      <c r="AB11" s="317"/>
      <c r="AC11" s="313"/>
      <c r="AD11" s="313"/>
      <c r="AE11" s="313"/>
      <c r="AF11" s="313"/>
      <c r="AG11" s="314"/>
      <c r="AH11" s="324"/>
      <c r="AI11" s="325"/>
      <c r="AJ11" s="325"/>
      <c r="AK11" s="325"/>
      <c r="AL11" s="325"/>
      <c r="AM11" s="326"/>
      <c r="AN11" s="82"/>
      <c r="AO11" s="271"/>
      <c r="AP11" s="272"/>
      <c r="AQ11" s="272"/>
      <c r="AR11" s="272"/>
      <c r="AS11" s="272"/>
      <c r="AT11" s="273"/>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266"/>
      <c r="C12" s="266"/>
      <c r="D12" s="267"/>
      <c r="E12" s="307"/>
      <c r="F12" s="308"/>
      <c r="G12" s="308"/>
      <c r="H12" s="308"/>
      <c r="I12" s="309"/>
      <c r="J12" s="317" t="str">
        <f ca="1">IF(AND('Mapa final'!$K$59="Muy Alta",'Mapa final'!$O$59="Leve"),CONCATENATE("R",'Mapa final'!$A$59),"")</f>
        <v/>
      </c>
      <c r="K12" s="313"/>
      <c r="L12" s="313" t="str">
        <f>IF(AND('Mapa final'!$K$65="Muy Alta",'Mapa final'!$O$65="Leve"),CONCATENATE("R",'Mapa final'!$A$65),"")</f>
        <v/>
      </c>
      <c r="M12" s="313"/>
      <c r="N12" s="313" t="str">
        <f>IF(AND('Mapa final'!$K$71="Muy Alta",'Mapa final'!$O$71="Leve"),CONCATENATE("R",'Mapa final'!$A$71),"")</f>
        <v/>
      </c>
      <c r="O12" s="314"/>
      <c r="P12" s="317" t="str">
        <f ca="1">IF(AND('Mapa final'!$K$59="Muy Alta",'Mapa final'!$O$59="Menor"),CONCATENATE("R",'Mapa final'!$A$59),"")</f>
        <v/>
      </c>
      <c r="Q12" s="313"/>
      <c r="R12" s="313" t="str">
        <f>IF(AND('Mapa final'!$K$65="Muy Alta",'Mapa final'!$O$65="Menor"),CONCATENATE("R",'Mapa final'!$A$65),"")</f>
        <v/>
      </c>
      <c r="S12" s="313"/>
      <c r="T12" s="313" t="str">
        <f>IF(AND('Mapa final'!$K$71="Muy Alta",'Mapa final'!$O$71="Menor"),CONCATENATE("R",'Mapa final'!$A$71),"")</f>
        <v/>
      </c>
      <c r="U12" s="314"/>
      <c r="V12" s="317" t="str">
        <f ca="1">IF(AND('Mapa final'!$K$59="Muy Alta",'Mapa final'!$O$59="Moderado"),CONCATENATE("R",'Mapa final'!$A$59),"")</f>
        <v/>
      </c>
      <c r="W12" s="313"/>
      <c r="X12" s="313" t="str">
        <f>IF(AND('Mapa final'!$K$65="Muy Alta",'Mapa final'!$O$65="Moderado"),CONCATENATE("R",'Mapa final'!$A$65),"")</f>
        <v/>
      </c>
      <c r="Y12" s="313"/>
      <c r="Z12" s="313" t="str">
        <f>IF(AND('Mapa final'!$K$71="Muy Alta",'Mapa final'!$O$71="Moderado"),CONCATENATE("R",'Mapa final'!$A$71),"")</f>
        <v/>
      </c>
      <c r="AA12" s="314"/>
      <c r="AB12" s="317" t="str">
        <f ca="1">IF(AND('Mapa final'!$K$59="Muy Alta",'Mapa final'!$O$59="Mayor"),CONCATENATE("R",'Mapa final'!$A$59),"")</f>
        <v/>
      </c>
      <c r="AC12" s="313"/>
      <c r="AD12" s="313" t="str">
        <f>IF(AND('Mapa final'!$K$65="Muy Alta",'Mapa final'!$O$65="Mayor"),CONCATENATE("R",'Mapa final'!$A$65),"")</f>
        <v/>
      </c>
      <c r="AE12" s="313"/>
      <c r="AF12" s="313" t="str">
        <f>IF(AND('Mapa final'!$K$71="Muy Alta",'Mapa final'!$O$71="Mayor"),CONCATENATE("R",'Mapa final'!$A$71),"")</f>
        <v/>
      </c>
      <c r="AG12" s="314"/>
      <c r="AH12" s="324" t="str">
        <f ca="1">IF(AND('Mapa final'!$K$59="Muy Alta",'Mapa final'!$O$59="Catastrófico"),CONCATENATE("R",'Mapa final'!$A$59),"")</f>
        <v/>
      </c>
      <c r="AI12" s="325"/>
      <c r="AJ12" s="325" t="str">
        <f>IF(AND('Mapa final'!$K$65="Muy Alta",'Mapa final'!$O$65="Catastrófico"),CONCATENATE("R",'Mapa final'!$A$65),"")</f>
        <v/>
      </c>
      <c r="AK12" s="325"/>
      <c r="AL12" s="325" t="str">
        <f>IF(AND('Mapa final'!$K$71="Muy Alta",'Mapa final'!$O$71="Catastrófico"),CONCATENATE("R",'Mapa final'!$A$71),"")</f>
        <v/>
      </c>
      <c r="AM12" s="326"/>
      <c r="AN12" s="82"/>
      <c r="AO12" s="271"/>
      <c r="AP12" s="272"/>
      <c r="AQ12" s="272"/>
      <c r="AR12" s="272"/>
      <c r="AS12" s="272"/>
      <c r="AT12" s="273"/>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266"/>
      <c r="C13" s="266"/>
      <c r="D13" s="267"/>
      <c r="E13" s="310"/>
      <c r="F13" s="311"/>
      <c r="G13" s="311"/>
      <c r="H13" s="311"/>
      <c r="I13" s="312"/>
      <c r="J13" s="317"/>
      <c r="K13" s="313"/>
      <c r="L13" s="313"/>
      <c r="M13" s="313"/>
      <c r="N13" s="313"/>
      <c r="O13" s="314"/>
      <c r="P13" s="317"/>
      <c r="Q13" s="313"/>
      <c r="R13" s="313"/>
      <c r="S13" s="313"/>
      <c r="T13" s="313"/>
      <c r="U13" s="314"/>
      <c r="V13" s="317"/>
      <c r="W13" s="313"/>
      <c r="X13" s="313"/>
      <c r="Y13" s="313"/>
      <c r="Z13" s="313"/>
      <c r="AA13" s="314"/>
      <c r="AB13" s="317"/>
      <c r="AC13" s="313"/>
      <c r="AD13" s="313"/>
      <c r="AE13" s="313"/>
      <c r="AF13" s="313"/>
      <c r="AG13" s="314"/>
      <c r="AH13" s="327"/>
      <c r="AI13" s="328"/>
      <c r="AJ13" s="328"/>
      <c r="AK13" s="328"/>
      <c r="AL13" s="328"/>
      <c r="AM13" s="329"/>
      <c r="AN13" s="82"/>
      <c r="AO13" s="274"/>
      <c r="AP13" s="275"/>
      <c r="AQ13" s="275"/>
      <c r="AR13" s="275"/>
      <c r="AS13" s="275"/>
      <c r="AT13" s="276"/>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266"/>
      <c r="C14" s="266"/>
      <c r="D14" s="267"/>
      <c r="E14" s="304" t="s">
        <v>107</v>
      </c>
      <c r="F14" s="305"/>
      <c r="G14" s="305"/>
      <c r="H14" s="305"/>
      <c r="I14" s="305"/>
      <c r="J14" s="339" t="str">
        <f ca="1">IF(AND('Mapa final'!$K$11="Alta",'Mapa final'!$O$11="Leve"),CONCATENATE("R",'Mapa final'!$A$11),"")</f>
        <v/>
      </c>
      <c r="K14" s="340"/>
      <c r="L14" s="340" t="str">
        <f ca="1">IF(AND('Mapa final'!$K$17="Alta",'Mapa final'!$O$17="Leve"),CONCATENATE("R",'Mapa final'!$A$17),"")</f>
        <v/>
      </c>
      <c r="M14" s="340"/>
      <c r="N14" s="340" t="str">
        <f ca="1">IF(AND('Mapa final'!$K$23="Alta",'Mapa final'!$O$23="Leve"),CONCATENATE("R",'Mapa final'!$A$23),"")</f>
        <v/>
      </c>
      <c r="O14" s="341"/>
      <c r="P14" s="339" t="str">
        <f ca="1">IF(AND('Mapa final'!$K$11="Alta",'Mapa final'!$O$11="Menor"),CONCATENATE("R",'Mapa final'!$A$11),"")</f>
        <v/>
      </c>
      <c r="Q14" s="340"/>
      <c r="R14" s="340" t="str">
        <f ca="1">IF(AND('Mapa final'!$K$17="Alta",'Mapa final'!$O$17="Menor"),CONCATENATE("R",'Mapa final'!$A$17),"")</f>
        <v/>
      </c>
      <c r="S14" s="340"/>
      <c r="T14" s="340" t="str">
        <f ca="1">IF(AND('Mapa final'!$K$23="Alta",'Mapa final'!$O$23="Menor"),CONCATENATE("R",'Mapa final'!$A$23),"")</f>
        <v/>
      </c>
      <c r="U14" s="341"/>
      <c r="V14" s="315" t="str">
        <f ca="1">IF(AND('Mapa final'!$K$11="Alta",'Mapa final'!$O$11="Moderado"),CONCATENATE("R",'Mapa final'!$A$11),"")</f>
        <v/>
      </c>
      <c r="W14" s="316"/>
      <c r="X14" s="316" t="str">
        <f ca="1">IF(AND('Mapa final'!$K$17="Alta",'Mapa final'!$O$17="Moderado"),CONCATENATE("R",'Mapa final'!$A$17),"")</f>
        <v/>
      </c>
      <c r="Y14" s="316"/>
      <c r="Z14" s="316" t="str">
        <f ca="1">IF(AND('Mapa final'!$K$23="Alta",'Mapa final'!$O$23="Moderado"),CONCATENATE("R",'Mapa final'!$A$23),"")</f>
        <v/>
      </c>
      <c r="AA14" s="318"/>
      <c r="AB14" s="315" t="str">
        <f ca="1">IF(AND('Mapa final'!$K$11="Alta",'Mapa final'!$O$11="Mayor"),CONCATENATE("R",'Mapa final'!$A$11),"")</f>
        <v/>
      </c>
      <c r="AC14" s="316"/>
      <c r="AD14" s="316" t="str">
        <f ca="1">IF(AND('Mapa final'!$K$17="Alta",'Mapa final'!$O$17="Mayor"),CONCATENATE("R",'Mapa final'!$A$17),"")</f>
        <v/>
      </c>
      <c r="AE14" s="316"/>
      <c r="AF14" s="316" t="str">
        <f ca="1">IF(AND('Mapa final'!$K$23="Alta",'Mapa final'!$O$23="Mayor"),CONCATENATE("R",'Mapa final'!$A$23),"")</f>
        <v/>
      </c>
      <c r="AG14" s="318"/>
      <c r="AH14" s="330" t="str">
        <f ca="1">IF(AND('Mapa final'!$K$11="Alta",'Mapa final'!$O$11="Catastrófico"),CONCATENATE("R",'Mapa final'!$A$11),"")</f>
        <v/>
      </c>
      <c r="AI14" s="331"/>
      <c r="AJ14" s="331" t="str">
        <f ca="1">IF(AND('Mapa final'!$K$17="Alta",'Mapa final'!$O$17="Catastrófico"),CONCATENATE("R",'Mapa final'!$A$17),"")</f>
        <v/>
      </c>
      <c r="AK14" s="331"/>
      <c r="AL14" s="331" t="str">
        <f ca="1">IF(AND('Mapa final'!$K$23="Alta",'Mapa final'!$O$23="Catastrófico"),CONCATENATE("R",'Mapa final'!$A$23),"")</f>
        <v/>
      </c>
      <c r="AM14" s="332"/>
      <c r="AN14" s="82"/>
      <c r="AO14" s="277" t="s">
        <v>77</v>
      </c>
      <c r="AP14" s="278"/>
      <c r="AQ14" s="278"/>
      <c r="AR14" s="278"/>
      <c r="AS14" s="278"/>
      <c r="AT14" s="279"/>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266"/>
      <c r="C15" s="266"/>
      <c r="D15" s="267"/>
      <c r="E15" s="307"/>
      <c r="F15" s="308"/>
      <c r="G15" s="308"/>
      <c r="H15" s="308"/>
      <c r="I15" s="308"/>
      <c r="J15" s="333"/>
      <c r="K15" s="334"/>
      <c r="L15" s="334"/>
      <c r="M15" s="334"/>
      <c r="N15" s="334"/>
      <c r="O15" s="335"/>
      <c r="P15" s="333"/>
      <c r="Q15" s="334"/>
      <c r="R15" s="334"/>
      <c r="S15" s="334"/>
      <c r="T15" s="334"/>
      <c r="U15" s="335"/>
      <c r="V15" s="317"/>
      <c r="W15" s="313"/>
      <c r="X15" s="313"/>
      <c r="Y15" s="313"/>
      <c r="Z15" s="313"/>
      <c r="AA15" s="314"/>
      <c r="AB15" s="317"/>
      <c r="AC15" s="313"/>
      <c r="AD15" s="313"/>
      <c r="AE15" s="313"/>
      <c r="AF15" s="313"/>
      <c r="AG15" s="314"/>
      <c r="AH15" s="324"/>
      <c r="AI15" s="325"/>
      <c r="AJ15" s="325"/>
      <c r="AK15" s="325"/>
      <c r="AL15" s="325"/>
      <c r="AM15" s="326"/>
      <c r="AN15" s="82"/>
      <c r="AO15" s="280"/>
      <c r="AP15" s="281"/>
      <c r="AQ15" s="281"/>
      <c r="AR15" s="281"/>
      <c r="AS15" s="281"/>
      <c r="AT15" s="2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266"/>
      <c r="C16" s="266"/>
      <c r="D16" s="267"/>
      <c r="E16" s="307"/>
      <c r="F16" s="308"/>
      <c r="G16" s="308"/>
      <c r="H16" s="308"/>
      <c r="I16" s="308"/>
      <c r="J16" s="333" t="str">
        <f ca="1">IF(AND('Mapa final'!$K$29="Alta",'Mapa final'!$O$29="Leve"),CONCATENATE("R",'Mapa final'!$A$29),"")</f>
        <v/>
      </c>
      <c r="K16" s="334"/>
      <c r="L16" s="334" t="e">
        <f>IF(AND('Mapa final'!#REF!="Alta",'Mapa final'!#REF!="Leve"),CONCATENATE("R",'Mapa final'!#REF!),"")</f>
        <v>#REF!</v>
      </c>
      <c r="M16" s="334"/>
      <c r="N16" s="334" t="str">
        <f ca="1">IF(AND('Mapa final'!$K$35="Alta",'Mapa final'!$O$35="Leve"),CONCATENATE("R",'Mapa final'!$A$35),"")</f>
        <v/>
      </c>
      <c r="O16" s="335"/>
      <c r="P16" s="333" t="str">
        <f ca="1">IF(AND('Mapa final'!$K$29="Alta",'Mapa final'!$O$29="Menor"),CONCATENATE("R",'Mapa final'!$A$29),"")</f>
        <v/>
      </c>
      <c r="Q16" s="334"/>
      <c r="R16" s="334" t="e">
        <f>IF(AND('Mapa final'!#REF!="Alta",'Mapa final'!#REF!="Menor"),CONCATENATE("R",'Mapa final'!#REF!),"")</f>
        <v>#REF!</v>
      </c>
      <c r="S16" s="334"/>
      <c r="T16" s="334" t="str">
        <f ca="1">IF(AND('Mapa final'!$K$35="Alta",'Mapa final'!$O$35="Menor"),CONCATENATE("R",'Mapa final'!$A$35),"")</f>
        <v/>
      </c>
      <c r="U16" s="335"/>
      <c r="V16" s="317" t="str">
        <f ca="1">IF(AND('Mapa final'!$K$29="Alta",'Mapa final'!$O$29="Moderado"),CONCATENATE("R",'Mapa final'!$A$29),"")</f>
        <v/>
      </c>
      <c r="W16" s="313"/>
      <c r="X16" s="313" t="e">
        <f>IF(AND('Mapa final'!#REF!="Alta",'Mapa final'!#REF!="Moderado"),CONCATENATE("R",'Mapa final'!#REF!),"")</f>
        <v>#REF!</v>
      </c>
      <c r="Y16" s="313"/>
      <c r="Z16" s="313" t="str">
        <f ca="1">IF(AND('Mapa final'!$K$35="Alta",'Mapa final'!$O$35="Moderado"),CONCATENATE("R",'Mapa final'!$A$35),"")</f>
        <v/>
      </c>
      <c r="AA16" s="314"/>
      <c r="AB16" s="317" t="str">
        <f ca="1">IF(AND('Mapa final'!$K$29="Alta",'Mapa final'!$O$29="Mayor"),CONCATENATE("R",'Mapa final'!$A$29),"")</f>
        <v/>
      </c>
      <c r="AC16" s="313"/>
      <c r="AD16" s="313" t="e">
        <f>IF(AND('Mapa final'!#REF!="Alta",'Mapa final'!#REF!="Mayor"),CONCATENATE("R",'Mapa final'!#REF!),"")</f>
        <v>#REF!</v>
      </c>
      <c r="AE16" s="313"/>
      <c r="AF16" s="313" t="str">
        <f ca="1">IF(AND('Mapa final'!$K$35="Alta",'Mapa final'!$O$35="Mayor"),CONCATENATE("R",'Mapa final'!$A$35),"")</f>
        <v/>
      </c>
      <c r="AG16" s="314"/>
      <c r="AH16" s="324" t="str">
        <f ca="1">IF(AND('Mapa final'!$K$29="Alta",'Mapa final'!$O$29="Catastrófico"),CONCATENATE("R",'Mapa final'!$A$29),"")</f>
        <v/>
      </c>
      <c r="AI16" s="325"/>
      <c r="AJ16" s="325" t="e">
        <f>IF(AND('Mapa final'!#REF!="Alta",'Mapa final'!#REF!="Catastrófico"),CONCATENATE("R",'Mapa final'!#REF!),"")</f>
        <v>#REF!</v>
      </c>
      <c r="AK16" s="325"/>
      <c r="AL16" s="325" t="str">
        <f ca="1">IF(AND('Mapa final'!$K$35="Alta",'Mapa final'!$O$35="Catastrófico"),CONCATENATE("R",'Mapa final'!$A$35),"")</f>
        <v/>
      </c>
      <c r="AM16" s="326"/>
      <c r="AN16" s="82"/>
      <c r="AO16" s="280"/>
      <c r="AP16" s="281"/>
      <c r="AQ16" s="281"/>
      <c r="AR16" s="281"/>
      <c r="AS16" s="281"/>
      <c r="AT16" s="2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266"/>
      <c r="C17" s="266"/>
      <c r="D17" s="267"/>
      <c r="E17" s="307"/>
      <c r="F17" s="308"/>
      <c r="G17" s="308"/>
      <c r="H17" s="308"/>
      <c r="I17" s="308"/>
      <c r="J17" s="333"/>
      <c r="K17" s="334"/>
      <c r="L17" s="334"/>
      <c r="M17" s="334"/>
      <c r="N17" s="334"/>
      <c r="O17" s="335"/>
      <c r="P17" s="333"/>
      <c r="Q17" s="334"/>
      <c r="R17" s="334"/>
      <c r="S17" s="334"/>
      <c r="T17" s="334"/>
      <c r="U17" s="335"/>
      <c r="V17" s="317"/>
      <c r="W17" s="313"/>
      <c r="X17" s="313"/>
      <c r="Y17" s="313"/>
      <c r="Z17" s="313"/>
      <c r="AA17" s="314"/>
      <c r="AB17" s="317"/>
      <c r="AC17" s="313"/>
      <c r="AD17" s="313"/>
      <c r="AE17" s="313"/>
      <c r="AF17" s="313"/>
      <c r="AG17" s="314"/>
      <c r="AH17" s="324"/>
      <c r="AI17" s="325"/>
      <c r="AJ17" s="325"/>
      <c r="AK17" s="325"/>
      <c r="AL17" s="325"/>
      <c r="AM17" s="326"/>
      <c r="AN17" s="82"/>
      <c r="AO17" s="280"/>
      <c r="AP17" s="281"/>
      <c r="AQ17" s="281"/>
      <c r="AR17" s="281"/>
      <c r="AS17" s="281"/>
      <c r="AT17" s="2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266"/>
      <c r="C18" s="266"/>
      <c r="D18" s="267"/>
      <c r="E18" s="307"/>
      <c r="F18" s="308"/>
      <c r="G18" s="308"/>
      <c r="H18" s="308"/>
      <c r="I18" s="308"/>
      <c r="J18" s="333" t="str">
        <f ca="1">IF(AND('Mapa final'!$K$41="Alta",'Mapa final'!$O$41="Leve"),CONCATENATE("R",'Mapa final'!$A$41),"")</f>
        <v/>
      </c>
      <c r="K18" s="334"/>
      <c r="L18" s="334" t="str">
        <f ca="1">IF(AND('Mapa final'!$K$47="Alta",'Mapa final'!$O$47="Leve"),CONCATENATE("R",'Mapa final'!$A$47),"")</f>
        <v/>
      </c>
      <c r="M18" s="334"/>
      <c r="N18" s="334" t="str">
        <f ca="1">IF(AND('Mapa final'!$K$53="Alta",'Mapa final'!$O$53="Leve"),CONCATENATE("R",'Mapa final'!$A$53),"")</f>
        <v/>
      </c>
      <c r="O18" s="335"/>
      <c r="P18" s="333" t="str">
        <f ca="1">IF(AND('Mapa final'!$K$41="Alta",'Mapa final'!$O$41="Menor"),CONCATENATE("R",'Mapa final'!$A$41),"")</f>
        <v/>
      </c>
      <c r="Q18" s="334"/>
      <c r="R18" s="334" t="str">
        <f ca="1">IF(AND('Mapa final'!$K$47="Alta",'Mapa final'!$O$47="Menor"),CONCATENATE("R",'Mapa final'!$A$47),"")</f>
        <v/>
      </c>
      <c r="S18" s="334"/>
      <c r="T18" s="334" t="str">
        <f ca="1">IF(AND('Mapa final'!$K$53="Alta",'Mapa final'!$O$53="Menor"),CONCATENATE("R",'Mapa final'!$A$53),"")</f>
        <v/>
      </c>
      <c r="U18" s="335"/>
      <c r="V18" s="317" t="str">
        <f ca="1">IF(AND('Mapa final'!$K$41="Alta",'Mapa final'!$O$41="Moderado"),CONCATENATE("R",'Mapa final'!$A$41),"")</f>
        <v/>
      </c>
      <c r="W18" s="313"/>
      <c r="X18" s="313" t="str">
        <f ca="1">IF(AND('Mapa final'!$K$47="Alta",'Mapa final'!$O$47="Moderado"),CONCATENATE("R",'Mapa final'!$A$47),"")</f>
        <v/>
      </c>
      <c r="Y18" s="313"/>
      <c r="Z18" s="313" t="str">
        <f ca="1">IF(AND('Mapa final'!$K$53="Alta",'Mapa final'!$O$53="Moderado"),CONCATENATE("R",'Mapa final'!$A$53),"")</f>
        <v/>
      </c>
      <c r="AA18" s="314"/>
      <c r="AB18" s="317" t="str">
        <f ca="1">IF(AND('Mapa final'!$K$41="Alta",'Mapa final'!$O$41="Mayor"),CONCATENATE("R",'Mapa final'!$A$41),"")</f>
        <v/>
      </c>
      <c r="AC18" s="313"/>
      <c r="AD18" s="313" t="str">
        <f ca="1">IF(AND('Mapa final'!$K$47="Alta",'Mapa final'!$O$47="Mayor"),CONCATENATE("R",'Mapa final'!$A$47),"")</f>
        <v/>
      </c>
      <c r="AE18" s="313"/>
      <c r="AF18" s="313" t="str">
        <f ca="1">IF(AND('Mapa final'!$K$53="Alta",'Mapa final'!$O$53="Mayor"),CONCATENATE("R",'Mapa final'!$A$53),"")</f>
        <v/>
      </c>
      <c r="AG18" s="314"/>
      <c r="AH18" s="324" t="str">
        <f ca="1">IF(AND('Mapa final'!$K$41="Alta",'Mapa final'!$O$41="Catastrófico"),CONCATENATE("R",'Mapa final'!$A$41),"")</f>
        <v/>
      </c>
      <c r="AI18" s="325"/>
      <c r="AJ18" s="325" t="str">
        <f ca="1">IF(AND('Mapa final'!$K$47="Alta",'Mapa final'!$O$47="Catastrófico"),CONCATENATE("R",'Mapa final'!$A$47),"")</f>
        <v/>
      </c>
      <c r="AK18" s="325"/>
      <c r="AL18" s="325" t="str">
        <f ca="1">IF(AND('Mapa final'!$K$53="Alta",'Mapa final'!$O$53="Catastrófico"),CONCATENATE("R",'Mapa final'!$A$53),"")</f>
        <v/>
      </c>
      <c r="AM18" s="326"/>
      <c r="AN18" s="82"/>
      <c r="AO18" s="280"/>
      <c r="AP18" s="281"/>
      <c r="AQ18" s="281"/>
      <c r="AR18" s="281"/>
      <c r="AS18" s="281"/>
      <c r="AT18" s="2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266"/>
      <c r="C19" s="266"/>
      <c r="D19" s="267"/>
      <c r="E19" s="307"/>
      <c r="F19" s="308"/>
      <c r="G19" s="308"/>
      <c r="H19" s="308"/>
      <c r="I19" s="308"/>
      <c r="J19" s="333"/>
      <c r="K19" s="334"/>
      <c r="L19" s="334"/>
      <c r="M19" s="334"/>
      <c r="N19" s="334"/>
      <c r="O19" s="335"/>
      <c r="P19" s="333"/>
      <c r="Q19" s="334"/>
      <c r="R19" s="334"/>
      <c r="S19" s="334"/>
      <c r="T19" s="334"/>
      <c r="U19" s="335"/>
      <c r="V19" s="317"/>
      <c r="W19" s="313"/>
      <c r="X19" s="313"/>
      <c r="Y19" s="313"/>
      <c r="Z19" s="313"/>
      <c r="AA19" s="314"/>
      <c r="AB19" s="317"/>
      <c r="AC19" s="313"/>
      <c r="AD19" s="313"/>
      <c r="AE19" s="313"/>
      <c r="AF19" s="313"/>
      <c r="AG19" s="314"/>
      <c r="AH19" s="324"/>
      <c r="AI19" s="325"/>
      <c r="AJ19" s="325"/>
      <c r="AK19" s="325"/>
      <c r="AL19" s="325"/>
      <c r="AM19" s="326"/>
      <c r="AN19" s="82"/>
      <c r="AO19" s="280"/>
      <c r="AP19" s="281"/>
      <c r="AQ19" s="281"/>
      <c r="AR19" s="281"/>
      <c r="AS19" s="281"/>
      <c r="AT19" s="2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266"/>
      <c r="C20" s="266"/>
      <c r="D20" s="267"/>
      <c r="E20" s="307"/>
      <c r="F20" s="308"/>
      <c r="G20" s="308"/>
      <c r="H20" s="308"/>
      <c r="I20" s="308"/>
      <c r="J20" s="333" t="str">
        <f ca="1">IF(AND('Mapa final'!$K$59="Alta",'Mapa final'!$O$59="Leve"),CONCATENATE("R",'Mapa final'!$A$59),"")</f>
        <v/>
      </c>
      <c r="K20" s="334"/>
      <c r="L20" s="334" t="str">
        <f>IF(AND('Mapa final'!$K$65="Alta",'Mapa final'!$O$65="Leve"),CONCATENATE("R",'Mapa final'!$A$65),"")</f>
        <v/>
      </c>
      <c r="M20" s="334"/>
      <c r="N20" s="334" t="str">
        <f>IF(AND('Mapa final'!$K$71="Alta",'Mapa final'!$O$71="Leve"),CONCATENATE("R",'Mapa final'!$A$71),"")</f>
        <v/>
      </c>
      <c r="O20" s="335"/>
      <c r="P20" s="333" t="str">
        <f ca="1">IF(AND('Mapa final'!$K$59="Alta",'Mapa final'!$O$59="Menor"),CONCATENATE("R",'Mapa final'!$A$59),"")</f>
        <v/>
      </c>
      <c r="Q20" s="334"/>
      <c r="R20" s="334" t="str">
        <f>IF(AND('Mapa final'!$K$65="Alta",'Mapa final'!$O$65="Menor"),CONCATENATE("R",'Mapa final'!$A$65),"")</f>
        <v/>
      </c>
      <c r="S20" s="334"/>
      <c r="T20" s="334" t="str">
        <f>IF(AND('Mapa final'!$K$71="Alta",'Mapa final'!$O$71="Menor"),CONCATENATE("R",'Mapa final'!$A$71),"")</f>
        <v/>
      </c>
      <c r="U20" s="335"/>
      <c r="V20" s="317" t="str">
        <f ca="1">IF(AND('Mapa final'!$K$59="Alta",'Mapa final'!$O$59="Moderado"),CONCATENATE("R",'Mapa final'!$A$59),"")</f>
        <v/>
      </c>
      <c r="W20" s="313"/>
      <c r="X20" s="313" t="str">
        <f>IF(AND('Mapa final'!$K$65="Alta",'Mapa final'!$O$65="Moderado"),CONCATENATE("R",'Mapa final'!$A$65),"")</f>
        <v/>
      </c>
      <c r="Y20" s="313"/>
      <c r="Z20" s="313" t="str">
        <f>IF(AND('Mapa final'!$K$71="Alta",'Mapa final'!$O$71="Moderado"),CONCATENATE("R",'Mapa final'!$A$71),"")</f>
        <v/>
      </c>
      <c r="AA20" s="314"/>
      <c r="AB20" s="317" t="str">
        <f ca="1">IF(AND('Mapa final'!$K$59="Alta",'Mapa final'!$O$59="Mayor"),CONCATENATE("R",'Mapa final'!$A$59),"")</f>
        <v/>
      </c>
      <c r="AC20" s="313"/>
      <c r="AD20" s="313" t="str">
        <f>IF(AND('Mapa final'!$K$65="Alta",'Mapa final'!$O$65="Mayor"),CONCATENATE("R",'Mapa final'!$A$65),"")</f>
        <v/>
      </c>
      <c r="AE20" s="313"/>
      <c r="AF20" s="313" t="str">
        <f>IF(AND('Mapa final'!$K$71="Alta",'Mapa final'!$O$71="Mayor"),CONCATENATE("R",'Mapa final'!$A$71),"")</f>
        <v/>
      </c>
      <c r="AG20" s="314"/>
      <c r="AH20" s="324" t="str">
        <f ca="1">IF(AND('Mapa final'!$K$59="Alta",'Mapa final'!$O$59="Catastrófico"),CONCATENATE("R",'Mapa final'!$A$59),"")</f>
        <v/>
      </c>
      <c r="AI20" s="325"/>
      <c r="AJ20" s="325" t="str">
        <f>IF(AND('Mapa final'!$K$65="Alta",'Mapa final'!$O$65="Catastrófico"),CONCATENATE("R",'Mapa final'!$A$65),"")</f>
        <v/>
      </c>
      <c r="AK20" s="325"/>
      <c r="AL20" s="325" t="str">
        <f>IF(AND('Mapa final'!$K$71="Alta",'Mapa final'!$O$71="Catastrófico"),CONCATENATE("R",'Mapa final'!$A$71),"")</f>
        <v/>
      </c>
      <c r="AM20" s="326"/>
      <c r="AN20" s="82"/>
      <c r="AO20" s="280"/>
      <c r="AP20" s="281"/>
      <c r="AQ20" s="281"/>
      <c r="AR20" s="281"/>
      <c r="AS20" s="281"/>
      <c r="AT20" s="2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266"/>
      <c r="C21" s="266"/>
      <c r="D21" s="267"/>
      <c r="E21" s="310"/>
      <c r="F21" s="311"/>
      <c r="G21" s="311"/>
      <c r="H21" s="311"/>
      <c r="I21" s="311"/>
      <c r="J21" s="336"/>
      <c r="K21" s="337"/>
      <c r="L21" s="337"/>
      <c r="M21" s="337"/>
      <c r="N21" s="337"/>
      <c r="O21" s="338"/>
      <c r="P21" s="336"/>
      <c r="Q21" s="337"/>
      <c r="R21" s="337"/>
      <c r="S21" s="337"/>
      <c r="T21" s="337"/>
      <c r="U21" s="338"/>
      <c r="V21" s="321"/>
      <c r="W21" s="322"/>
      <c r="X21" s="322"/>
      <c r="Y21" s="322"/>
      <c r="Z21" s="322"/>
      <c r="AA21" s="323"/>
      <c r="AB21" s="321"/>
      <c r="AC21" s="322"/>
      <c r="AD21" s="322"/>
      <c r="AE21" s="322"/>
      <c r="AF21" s="322"/>
      <c r="AG21" s="323"/>
      <c r="AH21" s="327"/>
      <c r="AI21" s="328"/>
      <c r="AJ21" s="328"/>
      <c r="AK21" s="328"/>
      <c r="AL21" s="328"/>
      <c r="AM21" s="329"/>
      <c r="AN21" s="82"/>
      <c r="AO21" s="283"/>
      <c r="AP21" s="284"/>
      <c r="AQ21" s="284"/>
      <c r="AR21" s="284"/>
      <c r="AS21" s="284"/>
      <c r="AT21" s="285"/>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266"/>
      <c r="C22" s="266"/>
      <c r="D22" s="267"/>
      <c r="E22" s="304" t="s">
        <v>109</v>
      </c>
      <c r="F22" s="305"/>
      <c r="G22" s="305"/>
      <c r="H22" s="305"/>
      <c r="I22" s="306"/>
      <c r="J22" s="339" t="str">
        <f ca="1">IF(AND('Mapa final'!$K$11="Media",'Mapa final'!$O$11="Leve"),CONCATENATE("R",'Mapa final'!$A$11),"")</f>
        <v/>
      </c>
      <c r="K22" s="340"/>
      <c r="L22" s="340" t="str">
        <f ca="1">IF(AND('Mapa final'!$K$17="Media",'Mapa final'!$O$17="Leve"),CONCATENATE("R",'Mapa final'!$A$17),"")</f>
        <v/>
      </c>
      <c r="M22" s="340"/>
      <c r="N22" s="340" t="str">
        <f ca="1">IF(AND('Mapa final'!$K$23="Media",'Mapa final'!$O$23="Leve"),CONCATENATE("R",'Mapa final'!$A$23),"")</f>
        <v/>
      </c>
      <c r="O22" s="341"/>
      <c r="P22" s="339" t="str">
        <f ca="1">IF(AND('Mapa final'!$K$11="Media",'Mapa final'!$O$11="Menor"),CONCATENATE("R",'Mapa final'!$A$11),"")</f>
        <v/>
      </c>
      <c r="Q22" s="340"/>
      <c r="R22" s="340" t="str">
        <f ca="1">IF(AND('Mapa final'!$K$17="Media",'Mapa final'!$O$17="Menor"),CONCATENATE("R",'Mapa final'!$A$17),"")</f>
        <v/>
      </c>
      <c r="S22" s="340"/>
      <c r="T22" s="340" t="str">
        <f ca="1">IF(AND('Mapa final'!$K$23="Media",'Mapa final'!$O$23="Menor"),CONCATENATE("R",'Mapa final'!$A$23),"")</f>
        <v/>
      </c>
      <c r="U22" s="341"/>
      <c r="V22" s="339" t="str">
        <f ca="1">IF(AND('Mapa final'!$K$11="Media",'Mapa final'!$O$11="Moderado"),CONCATENATE("R",'Mapa final'!$A$11),"")</f>
        <v/>
      </c>
      <c r="W22" s="340"/>
      <c r="X22" s="340" t="str">
        <f ca="1">IF(AND('Mapa final'!$K$17="Media",'Mapa final'!$O$17="Moderado"),CONCATENATE("R",'Mapa final'!$A$17),"")</f>
        <v>R2</v>
      </c>
      <c r="Y22" s="340"/>
      <c r="Z22" s="340" t="str">
        <f ca="1">IF(AND('Mapa final'!$K$23="Media",'Mapa final'!$O$23="Moderado"),CONCATENATE("R",'Mapa final'!$A$23),"")</f>
        <v>R3</v>
      </c>
      <c r="AA22" s="341"/>
      <c r="AB22" s="315" t="str">
        <f ca="1">IF(AND('Mapa final'!$K$11="Media",'Mapa final'!$O$11="Mayor"),CONCATENATE("R",'Mapa final'!$A$11),"")</f>
        <v/>
      </c>
      <c r="AC22" s="316"/>
      <c r="AD22" s="316" t="str">
        <f ca="1">IF(AND('Mapa final'!$K$17="Media",'Mapa final'!$O$17="Mayor"),CONCATENATE("R",'Mapa final'!$A$17),"")</f>
        <v/>
      </c>
      <c r="AE22" s="316"/>
      <c r="AF22" s="316" t="str">
        <f ca="1">IF(AND('Mapa final'!$K$23="Media",'Mapa final'!$O$23="Mayor"),CONCATENATE("R",'Mapa final'!$A$23),"")</f>
        <v/>
      </c>
      <c r="AG22" s="318"/>
      <c r="AH22" s="330" t="str">
        <f ca="1">IF(AND('Mapa final'!$K$11="Media",'Mapa final'!$O$11="Catastrófico"),CONCATENATE("R",'Mapa final'!$A$11),"")</f>
        <v/>
      </c>
      <c r="AI22" s="331"/>
      <c r="AJ22" s="331" t="str">
        <f ca="1">IF(AND('Mapa final'!$K$17="Media",'Mapa final'!$O$17="Catastrófico"),CONCATENATE("R",'Mapa final'!$A$17),"")</f>
        <v/>
      </c>
      <c r="AK22" s="331"/>
      <c r="AL22" s="331" t="str">
        <f ca="1">IF(AND('Mapa final'!$K$23="Media",'Mapa final'!$O$23="Catastrófico"),CONCATENATE("R",'Mapa final'!$A$23),"")</f>
        <v/>
      </c>
      <c r="AM22" s="332"/>
      <c r="AN22" s="82"/>
      <c r="AO22" s="286" t="s">
        <v>78</v>
      </c>
      <c r="AP22" s="287"/>
      <c r="AQ22" s="287"/>
      <c r="AR22" s="287"/>
      <c r="AS22" s="287"/>
      <c r="AT22" s="288"/>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266"/>
      <c r="C23" s="266"/>
      <c r="D23" s="267"/>
      <c r="E23" s="307"/>
      <c r="F23" s="308"/>
      <c r="G23" s="308"/>
      <c r="H23" s="308"/>
      <c r="I23" s="309"/>
      <c r="J23" s="333"/>
      <c r="K23" s="334"/>
      <c r="L23" s="334"/>
      <c r="M23" s="334"/>
      <c r="N23" s="334"/>
      <c r="O23" s="335"/>
      <c r="P23" s="333"/>
      <c r="Q23" s="334"/>
      <c r="R23" s="334"/>
      <c r="S23" s="334"/>
      <c r="T23" s="334"/>
      <c r="U23" s="335"/>
      <c r="V23" s="333"/>
      <c r="W23" s="334"/>
      <c r="X23" s="334"/>
      <c r="Y23" s="334"/>
      <c r="Z23" s="334"/>
      <c r="AA23" s="335"/>
      <c r="AB23" s="317"/>
      <c r="AC23" s="313"/>
      <c r="AD23" s="313"/>
      <c r="AE23" s="313"/>
      <c r="AF23" s="313"/>
      <c r="AG23" s="314"/>
      <c r="AH23" s="324"/>
      <c r="AI23" s="325"/>
      <c r="AJ23" s="325"/>
      <c r="AK23" s="325"/>
      <c r="AL23" s="325"/>
      <c r="AM23" s="326"/>
      <c r="AN23" s="82"/>
      <c r="AO23" s="289"/>
      <c r="AP23" s="290"/>
      <c r="AQ23" s="290"/>
      <c r="AR23" s="290"/>
      <c r="AS23" s="290"/>
      <c r="AT23" s="291"/>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266"/>
      <c r="C24" s="266"/>
      <c r="D24" s="267"/>
      <c r="E24" s="307"/>
      <c r="F24" s="308"/>
      <c r="G24" s="308"/>
      <c r="H24" s="308"/>
      <c r="I24" s="309"/>
      <c r="J24" s="333" t="str">
        <f ca="1">IF(AND('Mapa final'!$K$29="Media",'Mapa final'!$O$29="Leve"),CONCATENATE("R",'Mapa final'!$A$29),"")</f>
        <v/>
      </c>
      <c r="K24" s="334"/>
      <c r="L24" s="334" t="e">
        <f>IF(AND('Mapa final'!#REF!="Media",'Mapa final'!#REF!="Leve"),CONCATENATE("R",'Mapa final'!#REF!),"")</f>
        <v>#REF!</v>
      </c>
      <c r="M24" s="334"/>
      <c r="N24" s="334" t="str">
        <f ca="1">IF(AND('Mapa final'!$K$35="Media",'Mapa final'!$O$35="Leve"),CONCATENATE("R",'Mapa final'!$A$35),"")</f>
        <v/>
      </c>
      <c r="O24" s="335"/>
      <c r="P24" s="333" t="str">
        <f ca="1">IF(AND('Mapa final'!$K$29="Media",'Mapa final'!$O$29="Menor"),CONCATENATE("R",'Mapa final'!$A$29),"")</f>
        <v/>
      </c>
      <c r="Q24" s="334"/>
      <c r="R24" s="334" t="e">
        <f>IF(AND('Mapa final'!#REF!="Media",'Mapa final'!#REF!="Menor"),CONCATENATE("R",'Mapa final'!#REF!),"")</f>
        <v>#REF!</v>
      </c>
      <c r="S24" s="334"/>
      <c r="T24" s="334" t="str">
        <f ca="1">IF(AND('Mapa final'!$K$35="Media",'Mapa final'!$O$35="Menor"),CONCATENATE("R",'Mapa final'!$A$35),"")</f>
        <v/>
      </c>
      <c r="U24" s="335"/>
      <c r="V24" s="333" t="str">
        <f ca="1">IF(AND('Mapa final'!$K$29="Media",'Mapa final'!$O$29="Moderado"),CONCATENATE("R",'Mapa final'!$A$29),"")</f>
        <v>R4</v>
      </c>
      <c r="W24" s="334"/>
      <c r="X24" s="334" t="e">
        <f>IF(AND('Mapa final'!#REF!="Media",'Mapa final'!#REF!="Moderado"),CONCATENATE("R",'Mapa final'!#REF!),"")</f>
        <v>#REF!</v>
      </c>
      <c r="Y24" s="334"/>
      <c r="Z24" s="334" t="str">
        <f ca="1">IF(AND('Mapa final'!$K$35="Media",'Mapa final'!$O$35="Moderado"),CONCATENATE("R",'Mapa final'!$A$35),"")</f>
        <v>R5</v>
      </c>
      <c r="AA24" s="335"/>
      <c r="AB24" s="317" t="str">
        <f ca="1">IF(AND('Mapa final'!$K$29="Media",'Mapa final'!$O$29="Mayor"),CONCATENATE("R",'Mapa final'!$A$29),"")</f>
        <v/>
      </c>
      <c r="AC24" s="313"/>
      <c r="AD24" s="313" t="e">
        <f>IF(AND('Mapa final'!#REF!="Media",'Mapa final'!#REF!="Mayor"),CONCATENATE("R",'Mapa final'!#REF!),"")</f>
        <v>#REF!</v>
      </c>
      <c r="AE24" s="313"/>
      <c r="AF24" s="313" t="str">
        <f ca="1">IF(AND('Mapa final'!$K$35="Media",'Mapa final'!$O$35="Mayor"),CONCATENATE("R",'Mapa final'!$A$35),"")</f>
        <v/>
      </c>
      <c r="AG24" s="314"/>
      <c r="AH24" s="324" t="str">
        <f ca="1">IF(AND('Mapa final'!$K$29="Media",'Mapa final'!$O$29="Catastrófico"),CONCATENATE("R",'Mapa final'!$A$29),"")</f>
        <v/>
      </c>
      <c r="AI24" s="325"/>
      <c r="AJ24" s="325" t="e">
        <f>IF(AND('Mapa final'!#REF!="Media",'Mapa final'!#REF!="Catastrófico"),CONCATENATE("R",'Mapa final'!#REF!),"")</f>
        <v>#REF!</v>
      </c>
      <c r="AK24" s="325"/>
      <c r="AL24" s="325" t="str">
        <f ca="1">IF(AND('Mapa final'!$K$35="Media",'Mapa final'!$O$35="Catastrófico"),CONCATENATE("R",'Mapa final'!$A$35),"")</f>
        <v/>
      </c>
      <c r="AM24" s="326"/>
      <c r="AN24" s="82"/>
      <c r="AO24" s="289"/>
      <c r="AP24" s="290"/>
      <c r="AQ24" s="290"/>
      <c r="AR24" s="290"/>
      <c r="AS24" s="290"/>
      <c r="AT24" s="291"/>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266"/>
      <c r="C25" s="266"/>
      <c r="D25" s="267"/>
      <c r="E25" s="307"/>
      <c r="F25" s="308"/>
      <c r="G25" s="308"/>
      <c r="H25" s="308"/>
      <c r="I25" s="309"/>
      <c r="J25" s="333"/>
      <c r="K25" s="334"/>
      <c r="L25" s="334"/>
      <c r="M25" s="334"/>
      <c r="N25" s="334"/>
      <c r="O25" s="335"/>
      <c r="P25" s="333"/>
      <c r="Q25" s="334"/>
      <c r="R25" s="334"/>
      <c r="S25" s="334"/>
      <c r="T25" s="334"/>
      <c r="U25" s="335"/>
      <c r="V25" s="333"/>
      <c r="W25" s="334"/>
      <c r="X25" s="334"/>
      <c r="Y25" s="334"/>
      <c r="Z25" s="334"/>
      <c r="AA25" s="335"/>
      <c r="AB25" s="317"/>
      <c r="AC25" s="313"/>
      <c r="AD25" s="313"/>
      <c r="AE25" s="313"/>
      <c r="AF25" s="313"/>
      <c r="AG25" s="314"/>
      <c r="AH25" s="324"/>
      <c r="AI25" s="325"/>
      <c r="AJ25" s="325"/>
      <c r="AK25" s="325"/>
      <c r="AL25" s="325"/>
      <c r="AM25" s="326"/>
      <c r="AN25" s="82"/>
      <c r="AO25" s="289"/>
      <c r="AP25" s="290"/>
      <c r="AQ25" s="290"/>
      <c r="AR25" s="290"/>
      <c r="AS25" s="290"/>
      <c r="AT25" s="291"/>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266"/>
      <c r="C26" s="266"/>
      <c r="D26" s="267"/>
      <c r="E26" s="307"/>
      <c r="F26" s="308"/>
      <c r="G26" s="308"/>
      <c r="H26" s="308"/>
      <c r="I26" s="309"/>
      <c r="J26" s="333" t="str">
        <f ca="1">IF(AND('Mapa final'!$K$41="Media",'Mapa final'!$O$41="Leve"),CONCATENATE("R",'Mapa final'!$A$41),"")</f>
        <v/>
      </c>
      <c r="K26" s="334"/>
      <c r="L26" s="334" t="str">
        <f ca="1">IF(AND('Mapa final'!$K$47="Media",'Mapa final'!$O$47="Leve"),CONCATENATE("R",'Mapa final'!$A$47),"")</f>
        <v/>
      </c>
      <c r="M26" s="334"/>
      <c r="N26" s="334" t="str">
        <f ca="1">IF(AND('Mapa final'!$K$53="Media",'Mapa final'!$O$53="Leve"),CONCATENATE("R",'Mapa final'!$A$53),"")</f>
        <v/>
      </c>
      <c r="O26" s="335"/>
      <c r="P26" s="333" t="str">
        <f ca="1">IF(AND('Mapa final'!$K$41="Media",'Mapa final'!$O$41="Menor"),CONCATENATE("R",'Mapa final'!$A$41),"")</f>
        <v/>
      </c>
      <c r="Q26" s="334"/>
      <c r="R26" s="334" t="str">
        <f ca="1">IF(AND('Mapa final'!$K$47="Media",'Mapa final'!$O$47="Menor"),CONCATENATE("R",'Mapa final'!$A$47),"")</f>
        <v/>
      </c>
      <c r="S26" s="334"/>
      <c r="T26" s="334" t="str">
        <f ca="1">IF(AND('Mapa final'!$K$53="Media",'Mapa final'!$O$53="Menor"),CONCATENATE("R",'Mapa final'!$A$53),"")</f>
        <v/>
      </c>
      <c r="U26" s="335"/>
      <c r="V26" s="333" t="str">
        <f ca="1">IF(AND('Mapa final'!$K$41="Media",'Mapa final'!$O$41="Moderado"),CONCATENATE("R",'Mapa final'!$A$41),"")</f>
        <v/>
      </c>
      <c r="W26" s="334"/>
      <c r="X26" s="334" t="str">
        <f ca="1">IF(AND('Mapa final'!$K$47="Media",'Mapa final'!$O$47="Moderado"),CONCATENATE("R",'Mapa final'!$A$47),"")</f>
        <v/>
      </c>
      <c r="Y26" s="334"/>
      <c r="Z26" s="334" t="str">
        <f ca="1">IF(AND('Mapa final'!$K$53="Media",'Mapa final'!$O$53="Moderado"),CONCATENATE("R",'Mapa final'!$A$53),"")</f>
        <v/>
      </c>
      <c r="AA26" s="335"/>
      <c r="AB26" s="317" t="str">
        <f ca="1">IF(AND('Mapa final'!$K$41="Media",'Mapa final'!$O$41="Mayor"),CONCATENATE("R",'Mapa final'!$A$41),"")</f>
        <v/>
      </c>
      <c r="AC26" s="313"/>
      <c r="AD26" s="313" t="str">
        <f ca="1">IF(AND('Mapa final'!$K$47="Media",'Mapa final'!$O$47="Mayor"),CONCATENATE("R",'Mapa final'!$A$47),"")</f>
        <v/>
      </c>
      <c r="AE26" s="313"/>
      <c r="AF26" s="313" t="str">
        <f ca="1">IF(AND('Mapa final'!$K$53="Media",'Mapa final'!$O$53="Mayor"),CONCATENATE("R",'Mapa final'!$A$53),"")</f>
        <v/>
      </c>
      <c r="AG26" s="314"/>
      <c r="AH26" s="324" t="str">
        <f ca="1">IF(AND('Mapa final'!$K$41="Media",'Mapa final'!$O$41="Catastrófico"),CONCATENATE("R",'Mapa final'!$A$41),"")</f>
        <v/>
      </c>
      <c r="AI26" s="325"/>
      <c r="AJ26" s="325" t="str">
        <f ca="1">IF(AND('Mapa final'!$K$47="Media",'Mapa final'!$O$47="Catastrófico"),CONCATENATE("R",'Mapa final'!$A$47),"")</f>
        <v/>
      </c>
      <c r="AK26" s="325"/>
      <c r="AL26" s="325" t="str">
        <f ca="1">IF(AND('Mapa final'!$K$53="Media",'Mapa final'!$O$53="Catastrófico"),CONCATENATE("R",'Mapa final'!$A$53),"")</f>
        <v/>
      </c>
      <c r="AM26" s="326"/>
      <c r="AN26" s="82"/>
      <c r="AO26" s="289"/>
      <c r="AP26" s="290"/>
      <c r="AQ26" s="290"/>
      <c r="AR26" s="290"/>
      <c r="AS26" s="290"/>
      <c r="AT26" s="291"/>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266"/>
      <c r="C27" s="266"/>
      <c r="D27" s="267"/>
      <c r="E27" s="307"/>
      <c r="F27" s="308"/>
      <c r="G27" s="308"/>
      <c r="H27" s="308"/>
      <c r="I27" s="309"/>
      <c r="J27" s="333"/>
      <c r="K27" s="334"/>
      <c r="L27" s="334"/>
      <c r="M27" s="334"/>
      <c r="N27" s="334"/>
      <c r="O27" s="335"/>
      <c r="P27" s="333"/>
      <c r="Q27" s="334"/>
      <c r="R27" s="334"/>
      <c r="S27" s="334"/>
      <c r="T27" s="334"/>
      <c r="U27" s="335"/>
      <c r="V27" s="333"/>
      <c r="W27" s="334"/>
      <c r="X27" s="334"/>
      <c r="Y27" s="334"/>
      <c r="Z27" s="334"/>
      <c r="AA27" s="335"/>
      <c r="AB27" s="317"/>
      <c r="AC27" s="313"/>
      <c r="AD27" s="313"/>
      <c r="AE27" s="313"/>
      <c r="AF27" s="313"/>
      <c r="AG27" s="314"/>
      <c r="AH27" s="324"/>
      <c r="AI27" s="325"/>
      <c r="AJ27" s="325"/>
      <c r="AK27" s="325"/>
      <c r="AL27" s="325"/>
      <c r="AM27" s="326"/>
      <c r="AN27" s="82"/>
      <c r="AO27" s="289"/>
      <c r="AP27" s="290"/>
      <c r="AQ27" s="290"/>
      <c r="AR27" s="290"/>
      <c r="AS27" s="290"/>
      <c r="AT27" s="291"/>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266"/>
      <c r="C28" s="266"/>
      <c r="D28" s="267"/>
      <c r="E28" s="307"/>
      <c r="F28" s="308"/>
      <c r="G28" s="308"/>
      <c r="H28" s="308"/>
      <c r="I28" s="309"/>
      <c r="J28" s="333" t="str">
        <f ca="1">IF(AND('Mapa final'!$K$59="Media",'Mapa final'!$O$59="Leve"),CONCATENATE("R",'Mapa final'!$A$59),"")</f>
        <v/>
      </c>
      <c r="K28" s="334"/>
      <c r="L28" s="334" t="str">
        <f>IF(AND('Mapa final'!$K$65="Media",'Mapa final'!$O$65="Leve"),CONCATENATE("R",'Mapa final'!$A$65),"")</f>
        <v/>
      </c>
      <c r="M28" s="334"/>
      <c r="N28" s="334" t="str">
        <f>IF(AND('Mapa final'!$K$71="Media",'Mapa final'!$O$71="Leve"),CONCATENATE("R",'Mapa final'!$A$71),"")</f>
        <v/>
      </c>
      <c r="O28" s="335"/>
      <c r="P28" s="333" t="str">
        <f ca="1">IF(AND('Mapa final'!$K$59="Media",'Mapa final'!$O$59="Menor"),CONCATENATE("R",'Mapa final'!$A$59),"")</f>
        <v/>
      </c>
      <c r="Q28" s="334"/>
      <c r="R28" s="334" t="str">
        <f>IF(AND('Mapa final'!$K$65="Media",'Mapa final'!$O$65="Menor"),CONCATENATE("R",'Mapa final'!$A$65),"")</f>
        <v/>
      </c>
      <c r="S28" s="334"/>
      <c r="T28" s="334" t="str">
        <f>IF(AND('Mapa final'!$K$71="Media",'Mapa final'!$O$71="Menor"),CONCATENATE("R",'Mapa final'!$A$71),"")</f>
        <v/>
      </c>
      <c r="U28" s="335"/>
      <c r="V28" s="333" t="str">
        <f ca="1">IF(AND('Mapa final'!$K$59="Media",'Mapa final'!$O$59="Moderado"),CONCATENATE("R",'Mapa final'!$A$59),"")</f>
        <v/>
      </c>
      <c r="W28" s="334"/>
      <c r="X28" s="334" t="str">
        <f>IF(AND('Mapa final'!$K$65="Media",'Mapa final'!$O$65="Moderado"),CONCATENATE("R",'Mapa final'!$A$65),"")</f>
        <v/>
      </c>
      <c r="Y28" s="334"/>
      <c r="Z28" s="334" t="str">
        <f>IF(AND('Mapa final'!$K$71="Media",'Mapa final'!$O$71="Moderado"),CONCATENATE("R",'Mapa final'!$A$71),"")</f>
        <v/>
      </c>
      <c r="AA28" s="335"/>
      <c r="AB28" s="317" t="str">
        <f ca="1">IF(AND('Mapa final'!$K$59="Media",'Mapa final'!$O$59="Mayor"),CONCATENATE("R",'Mapa final'!$A$59),"")</f>
        <v/>
      </c>
      <c r="AC28" s="313"/>
      <c r="AD28" s="313" t="str">
        <f>IF(AND('Mapa final'!$K$65="Media",'Mapa final'!$O$65="Mayor"),CONCATENATE("R",'Mapa final'!$A$65),"")</f>
        <v/>
      </c>
      <c r="AE28" s="313"/>
      <c r="AF28" s="313" t="str">
        <f>IF(AND('Mapa final'!$K$71="Media",'Mapa final'!$O$71="Mayor"),CONCATENATE("R",'Mapa final'!$A$71),"")</f>
        <v/>
      </c>
      <c r="AG28" s="314"/>
      <c r="AH28" s="324" t="str">
        <f ca="1">IF(AND('Mapa final'!$K$59="Media",'Mapa final'!$O$59="Catastrófico"),CONCATENATE("R",'Mapa final'!$A$59),"")</f>
        <v/>
      </c>
      <c r="AI28" s="325"/>
      <c r="AJ28" s="325" t="str">
        <f>IF(AND('Mapa final'!$K$65="Media",'Mapa final'!$O$65="Catastrófico"),CONCATENATE("R",'Mapa final'!$A$65),"")</f>
        <v/>
      </c>
      <c r="AK28" s="325"/>
      <c r="AL28" s="325" t="str">
        <f>IF(AND('Mapa final'!$K$71="Media",'Mapa final'!$O$71="Catastrófico"),CONCATENATE("R",'Mapa final'!$A$71),"")</f>
        <v/>
      </c>
      <c r="AM28" s="326"/>
      <c r="AN28" s="82"/>
      <c r="AO28" s="289"/>
      <c r="AP28" s="290"/>
      <c r="AQ28" s="290"/>
      <c r="AR28" s="290"/>
      <c r="AS28" s="290"/>
      <c r="AT28" s="291"/>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266"/>
      <c r="C29" s="266"/>
      <c r="D29" s="267"/>
      <c r="E29" s="310"/>
      <c r="F29" s="311"/>
      <c r="G29" s="311"/>
      <c r="H29" s="311"/>
      <c r="I29" s="312"/>
      <c r="J29" s="333"/>
      <c r="K29" s="334"/>
      <c r="L29" s="334"/>
      <c r="M29" s="334"/>
      <c r="N29" s="334"/>
      <c r="O29" s="335"/>
      <c r="P29" s="336"/>
      <c r="Q29" s="337"/>
      <c r="R29" s="337"/>
      <c r="S29" s="337"/>
      <c r="T29" s="337"/>
      <c r="U29" s="338"/>
      <c r="V29" s="336"/>
      <c r="W29" s="337"/>
      <c r="X29" s="337"/>
      <c r="Y29" s="337"/>
      <c r="Z29" s="337"/>
      <c r="AA29" s="338"/>
      <c r="AB29" s="321"/>
      <c r="AC29" s="322"/>
      <c r="AD29" s="322"/>
      <c r="AE29" s="322"/>
      <c r="AF29" s="322"/>
      <c r="AG29" s="323"/>
      <c r="AH29" s="327"/>
      <c r="AI29" s="328"/>
      <c r="AJ29" s="328"/>
      <c r="AK29" s="328"/>
      <c r="AL29" s="328"/>
      <c r="AM29" s="329"/>
      <c r="AN29" s="82"/>
      <c r="AO29" s="292"/>
      <c r="AP29" s="293"/>
      <c r="AQ29" s="293"/>
      <c r="AR29" s="293"/>
      <c r="AS29" s="293"/>
      <c r="AT29" s="294"/>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266"/>
      <c r="C30" s="266"/>
      <c r="D30" s="267"/>
      <c r="E30" s="304" t="s">
        <v>106</v>
      </c>
      <c r="F30" s="305"/>
      <c r="G30" s="305"/>
      <c r="H30" s="305"/>
      <c r="I30" s="305"/>
      <c r="J30" s="348" t="str">
        <f ca="1">IF(AND('Mapa final'!$K$11="Baja",'Mapa final'!$O$11="Leve"),CONCATENATE("R",'Mapa final'!$A$11),"")</f>
        <v/>
      </c>
      <c r="K30" s="349"/>
      <c r="L30" s="349" t="str">
        <f ca="1">IF(AND('Mapa final'!$K$17="Baja",'Mapa final'!$O$17="Leve"),CONCATENATE("R",'Mapa final'!$A$17),"")</f>
        <v/>
      </c>
      <c r="M30" s="349"/>
      <c r="N30" s="349" t="str">
        <f ca="1">IF(AND('Mapa final'!$K$23="Baja",'Mapa final'!$O$23="Leve"),CONCATENATE("R",'Mapa final'!$A$23),"")</f>
        <v/>
      </c>
      <c r="O30" s="350"/>
      <c r="P30" s="340" t="str">
        <f ca="1">IF(AND('Mapa final'!$K$11="Baja",'Mapa final'!$O$11="Menor"),CONCATENATE("R",'Mapa final'!$A$11),"")</f>
        <v/>
      </c>
      <c r="Q30" s="340"/>
      <c r="R30" s="340" t="str">
        <f ca="1">IF(AND('Mapa final'!$K$17="Baja",'Mapa final'!$O$17="Menor"),CONCATENATE("R",'Mapa final'!$A$17),"")</f>
        <v/>
      </c>
      <c r="S30" s="340"/>
      <c r="T30" s="340" t="str">
        <f ca="1">IF(AND('Mapa final'!$K$23="Baja",'Mapa final'!$O$23="Menor"),CONCATENATE("R",'Mapa final'!$A$23),"")</f>
        <v/>
      </c>
      <c r="U30" s="341"/>
      <c r="V30" s="339" t="str">
        <f ca="1">IF(AND('Mapa final'!$K$11="Baja",'Mapa final'!$O$11="Moderado"),CONCATENATE("R",'Mapa final'!$A$11),"")</f>
        <v/>
      </c>
      <c r="W30" s="340"/>
      <c r="X30" s="340" t="str">
        <f ca="1">IF(AND('Mapa final'!$K$17="Baja",'Mapa final'!$O$17="Moderado"),CONCATENATE("R",'Mapa final'!$A$17),"")</f>
        <v/>
      </c>
      <c r="Y30" s="340"/>
      <c r="Z30" s="340" t="str">
        <f ca="1">IF(AND('Mapa final'!$K$23="Baja",'Mapa final'!$O$23="Moderado"),CONCATENATE("R",'Mapa final'!$A$23),"")</f>
        <v/>
      </c>
      <c r="AA30" s="341"/>
      <c r="AB30" s="315" t="str">
        <f ca="1">IF(AND('Mapa final'!$K$11="Baja",'Mapa final'!$O$11="Mayor"),CONCATENATE("R",'Mapa final'!$A$11),"")</f>
        <v/>
      </c>
      <c r="AC30" s="316"/>
      <c r="AD30" s="316" t="str">
        <f ca="1">IF(AND('Mapa final'!$K$17="Baja",'Mapa final'!$O$17="Mayor"),CONCATENATE("R",'Mapa final'!$A$17),"")</f>
        <v/>
      </c>
      <c r="AE30" s="316"/>
      <c r="AF30" s="316" t="str">
        <f ca="1">IF(AND('Mapa final'!$K$23="Baja",'Mapa final'!$O$23="Mayor"),CONCATENATE("R",'Mapa final'!$A$23),"")</f>
        <v/>
      </c>
      <c r="AG30" s="318"/>
      <c r="AH30" s="330" t="str">
        <f ca="1">IF(AND('Mapa final'!$K$11="Baja",'Mapa final'!$O$11="Catastrófico"),CONCATENATE("R",'Mapa final'!$A$11),"")</f>
        <v/>
      </c>
      <c r="AI30" s="331"/>
      <c r="AJ30" s="331" t="str">
        <f ca="1">IF(AND('Mapa final'!$K$17="Baja",'Mapa final'!$O$17="Catastrófico"),CONCATENATE("R",'Mapa final'!$A$17),"")</f>
        <v/>
      </c>
      <c r="AK30" s="331"/>
      <c r="AL30" s="331" t="str">
        <f ca="1">IF(AND('Mapa final'!$K$23="Baja",'Mapa final'!$O$23="Catastrófico"),CONCATENATE("R",'Mapa final'!$A$23),"")</f>
        <v/>
      </c>
      <c r="AM30" s="332"/>
      <c r="AN30" s="82"/>
      <c r="AO30" s="295" t="s">
        <v>79</v>
      </c>
      <c r="AP30" s="296"/>
      <c r="AQ30" s="296"/>
      <c r="AR30" s="296"/>
      <c r="AS30" s="296"/>
      <c r="AT30" s="297"/>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266"/>
      <c r="C31" s="266"/>
      <c r="D31" s="267"/>
      <c r="E31" s="307"/>
      <c r="F31" s="308"/>
      <c r="G31" s="308"/>
      <c r="H31" s="308"/>
      <c r="I31" s="308"/>
      <c r="J31" s="344"/>
      <c r="K31" s="342"/>
      <c r="L31" s="342"/>
      <c r="M31" s="342"/>
      <c r="N31" s="342"/>
      <c r="O31" s="343"/>
      <c r="P31" s="334"/>
      <c r="Q31" s="334"/>
      <c r="R31" s="334"/>
      <c r="S31" s="334"/>
      <c r="T31" s="334"/>
      <c r="U31" s="335"/>
      <c r="V31" s="333"/>
      <c r="W31" s="334"/>
      <c r="X31" s="334"/>
      <c r="Y31" s="334"/>
      <c r="Z31" s="334"/>
      <c r="AA31" s="335"/>
      <c r="AB31" s="317"/>
      <c r="AC31" s="313"/>
      <c r="AD31" s="313"/>
      <c r="AE31" s="313"/>
      <c r="AF31" s="313"/>
      <c r="AG31" s="314"/>
      <c r="AH31" s="324"/>
      <c r="AI31" s="325"/>
      <c r="AJ31" s="325"/>
      <c r="AK31" s="325"/>
      <c r="AL31" s="325"/>
      <c r="AM31" s="326"/>
      <c r="AN31" s="82"/>
      <c r="AO31" s="298"/>
      <c r="AP31" s="299"/>
      <c r="AQ31" s="299"/>
      <c r="AR31" s="299"/>
      <c r="AS31" s="299"/>
      <c r="AT31" s="30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266"/>
      <c r="C32" s="266"/>
      <c r="D32" s="267"/>
      <c r="E32" s="307"/>
      <c r="F32" s="308"/>
      <c r="G32" s="308"/>
      <c r="H32" s="308"/>
      <c r="I32" s="308"/>
      <c r="J32" s="344" t="str">
        <f ca="1">IF(AND('Mapa final'!$K$29="Baja",'Mapa final'!$O$29="Leve"),CONCATENATE("R",'Mapa final'!$A$29),"")</f>
        <v/>
      </c>
      <c r="K32" s="342"/>
      <c r="L32" s="342" t="e">
        <f>IF(AND('Mapa final'!#REF!="Baja",'Mapa final'!#REF!="Leve"),CONCATENATE("R",'Mapa final'!#REF!),"")</f>
        <v>#REF!</v>
      </c>
      <c r="M32" s="342"/>
      <c r="N32" s="342" t="str">
        <f ca="1">IF(AND('Mapa final'!$K$35="Baja",'Mapa final'!$O$35="Leve"),CONCATENATE("R",'Mapa final'!$A$35),"")</f>
        <v/>
      </c>
      <c r="O32" s="343"/>
      <c r="P32" s="334" t="str">
        <f ca="1">IF(AND('Mapa final'!$K$29="Baja",'Mapa final'!$O$29="Menor"),CONCATENATE("R",'Mapa final'!$A$29),"")</f>
        <v/>
      </c>
      <c r="Q32" s="334"/>
      <c r="R32" s="334" t="e">
        <f>IF(AND('Mapa final'!#REF!="Baja",'Mapa final'!#REF!="Menor"),CONCATENATE("R",'Mapa final'!#REF!),"")</f>
        <v>#REF!</v>
      </c>
      <c r="S32" s="334"/>
      <c r="T32" s="334" t="str">
        <f ca="1">IF(AND('Mapa final'!$K$35="Baja",'Mapa final'!$O$35="Menor"),CONCATENATE("R",'Mapa final'!$A$35),"")</f>
        <v/>
      </c>
      <c r="U32" s="335"/>
      <c r="V32" s="333" t="str">
        <f ca="1">IF(AND('Mapa final'!$K$29="Baja",'Mapa final'!$O$29="Moderado"),CONCATENATE("R",'Mapa final'!$A$29),"")</f>
        <v/>
      </c>
      <c r="W32" s="334"/>
      <c r="X32" s="334" t="e">
        <f>IF(AND('Mapa final'!#REF!="Baja",'Mapa final'!#REF!="Moderado"),CONCATENATE("R",'Mapa final'!#REF!),"")</f>
        <v>#REF!</v>
      </c>
      <c r="Y32" s="334"/>
      <c r="Z32" s="334" t="str">
        <f ca="1">IF(AND('Mapa final'!$K$35="Baja",'Mapa final'!$O$35="Moderado"),CONCATENATE("R",'Mapa final'!$A$35),"")</f>
        <v/>
      </c>
      <c r="AA32" s="335"/>
      <c r="AB32" s="317" t="str">
        <f ca="1">IF(AND('Mapa final'!$K$29="Baja",'Mapa final'!$O$29="Mayor"),CONCATENATE("R",'Mapa final'!$A$29),"")</f>
        <v/>
      </c>
      <c r="AC32" s="313"/>
      <c r="AD32" s="313" t="e">
        <f>IF(AND('Mapa final'!#REF!="Baja",'Mapa final'!#REF!="Mayor"),CONCATENATE("R",'Mapa final'!#REF!),"")</f>
        <v>#REF!</v>
      </c>
      <c r="AE32" s="313"/>
      <c r="AF32" s="313" t="str">
        <f ca="1">IF(AND('Mapa final'!$K$35="Baja",'Mapa final'!$O$35="Mayor"),CONCATENATE("R",'Mapa final'!$A$35),"")</f>
        <v/>
      </c>
      <c r="AG32" s="314"/>
      <c r="AH32" s="324" t="str">
        <f ca="1">IF(AND('Mapa final'!$K$29="Baja",'Mapa final'!$O$29="Catastrófico"),CONCATENATE("R",'Mapa final'!$A$29),"")</f>
        <v/>
      </c>
      <c r="AI32" s="325"/>
      <c r="AJ32" s="325" t="e">
        <f>IF(AND('Mapa final'!#REF!="Baja",'Mapa final'!#REF!="Catastrófico"),CONCATENATE("R",'Mapa final'!#REF!),"")</f>
        <v>#REF!</v>
      </c>
      <c r="AK32" s="325"/>
      <c r="AL32" s="325" t="str">
        <f ca="1">IF(AND('Mapa final'!$K$35="Baja",'Mapa final'!$O$35="Catastrófico"),CONCATENATE("R",'Mapa final'!$A$35),"")</f>
        <v/>
      </c>
      <c r="AM32" s="326"/>
      <c r="AN32" s="82"/>
      <c r="AO32" s="298"/>
      <c r="AP32" s="299"/>
      <c r="AQ32" s="299"/>
      <c r="AR32" s="299"/>
      <c r="AS32" s="299"/>
      <c r="AT32" s="30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266"/>
      <c r="C33" s="266"/>
      <c r="D33" s="267"/>
      <c r="E33" s="307"/>
      <c r="F33" s="308"/>
      <c r="G33" s="308"/>
      <c r="H33" s="308"/>
      <c r="I33" s="308"/>
      <c r="J33" s="344"/>
      <c r="K33" s="342"/>
      <c r="L33" s="342"/>
      <c r="M33" s="342"/>
      <c r="N33" s="342"/>
      <c r="O33" s="343"/>
      <c r="P33" s="334"/>
      <c r="Q33" s="334"/>
      <c r="R33" s="334"/>
      <c r="S33" s="334"/>
      <c r="T33" s="334"/>
      <c r="U33" s="335"/>
      <c r="V33" s="333"/>
      <c r="W33" s="334"/>
      <c r="X33" s="334"/>
      <c r="Y33" s="334"/>
      <c r="Z33" s="334"/>
      <c r="AA33" s="335"/>
      <c r="AB33" s="317"/>
      <c r="AC33" s="313"/>
      <c r="AD33" s="313"/>
      <c r="AE33" s="313"/>
      <c r="AF33" s="313"/>
      <c r="AG33" s="314"/>
      <c r="AH33" s="324"/>
      <c r="AI33" s="325"/>
      <c r="AJ33" s="325"/>
      <c r="AK33" s="325"/>
      <c r="AL33" s="325"/>
      <c r="AM33" s="326"/>
      <c r="AN33" s="82"/>
      <c r="AO33" s="298"/>
      <c r="AP33" s="299"/>
      <c r="AQ33" s="299"/>
      <c r="AR33" s="299"/>
      <c r="AS33" s="299"/>
      <c r="AT33" s="30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266"/>
      <c r="C34" s="266"/>
      <c r="D34" s="267"/>
      <c r="E34" s="307"/>
      <c r="F34" s="308"/>
      <c r="G34" s="308"/>
      <c r="H34" s="308"/>
      <c r="I34" s="308"/>
      <c r="J34" s="344" t="str">
        <f ca="1">IF(AND('Mapa final'!$K$41="Baja",'Mapa final'!$O$41="Leve"),CONCATENATE("R",'Mapa final'!$A$41),"")</f>
        <v/>
      </c>
      <c r="K34" s="342"/>
      <c r="L34" s="342" t="str">
        <f ca="1">IF(AND('Mapa final'!$K$47="Baja",'Mapa final'!$O$47="Leve"),CONCATENATE("R",'Mapa final'!$A$47),"")</f>
        <v/>
      </c>
      <c r="M34" s="342"/>
      <c r="N34" s="342" t="str">
        <f ca="1">IF(AND('Mapa final'!$K$53="Baja",'Mapa final'!$O$53="Leve"),CONCATENATE("R",'Mapa final'!$A$53),"")</f>
        <v/>
      </c>
      <c r="O34" s="343"/>
      <c r="P34" s="334" t="str">
        <f ca="1">IF(AND('Mapa final'!$K$41="Baja",'Mapa final'!$O$41="Menor"),CONCATENATE("R",'Mapa final'!$A$41),"")</f>
        <v/>
      </c>
      <c r="Q34" s="334"/>
      <c r="R34" s="334" t="str">
        <f ca="1">IF(AND('Mapa final'!$K$47="Baja",'Mapa final'!$O$47="Menor"),CONCATENATE("R",'Mapa final'!$A$47),"")</f>
        <v/>
      </c>
      <c r="S34" s="334"/>
      <c r="T34" s="334" t="str">
        <f ca="1">IF(AND('Mapa final'!$K$53="Baja",'Mapa final'!$O$53="Menor"),CONCATENATE("R",'Mapa final'!$A$53),"")</f>
        <v/>
      </c>
      <c r="U34" s="335"/>
      <c r="V34" s="333" t="str">
        <f ca="1">IF(AND('Mapa final'!$K$41="Baja",'Mapa final'!$O$41="Moderado"),CONCATENATE("R",'Mapa final'!$A$41),"")</f>
        <v/>
      </c>
      <c r="W34" s="334"/>
      <c r="X34" s="334" t="str">
        <f ca="1">IF(AND('Mapa final'!$K$47="Baja",'Mapa final'!$O$47="Moderado"),CONCATENATE("R",'Mapa final'!$A$47),"")</f>
        <v/>
      </c>
      <c r="Y34" s="334"/>
      <c r="Z34" s="334" t="str">
        <f ca="1">IF(AND('Mapa final'!$K$53="Baja",'Mapa final'!$O$53="Moderado"),CONCATENATE("R",'Mapa final'!$A$53),"")</f>
        <v/>
      </c>
      <c r="AA34" s="335"/>
      <c r="AB34" s="317" t="str">
        <f ca="1">IF(AND('Mapa final'!$K$41="Baja",'Mapa final'!$O$41="Mayor"),CONCATENATE("R",'Mapa final'!$A$41),"")</f>
        <v/>
      </c>
      <c r="AC34" s="313"/>
      <c r="AD34" s="313" t="str">
        <f ca="1">IF(AND('Mapa final'!$K$47="Baja",'Mapa final'!$O$47="Mayor"),CONCATENATE("R",'Mapa final'!$A$47),"")</f>
        <v/>
      </c>
      <c r="AE34" s="313"/>
      <c r="AF34" s="313" t="str">
        <f ca="1">IF(AND('Mapa final'!$K$53="Baja",'Mapa final'!$O$53="Mayor"),CONCATENATE("R",'Mapa final'!$A$53),"")</f>
        <v/>
      </c>
      <c r="AG34" s="314"/>
      <c r="AH34" s="324" t="str">
        <f ca="1">IF(AND('Mapa final'!$K$41="Baja",'Mapa final'!$O$41="Catastrófico"),CONCATENATE("R",'Mapa final'!$A$41),"")</f>
        <v/>
      </c>
      <c r="AI34" s="325"/>
      <c r="AJ34" s="325" t="str">
        <f ca="1">IF(AND('Mapa final'!$K$47="Baja",'Mapa final'!$O$47="Catastrófico"),CONCATENATE("R",'Mapa final'!$A$47),"")</f>
        <v/>
      </c>
      <c r="AK34" s="325"/>
      <c r="AL34" s="325" t="str">
        <f ca="1">IF(AND('Mapa final'!$K$53="Baja",'Mapa final'!$O$53="Catastrófico"),CONCATENATE("R",'Mapa final'!$A$53),"")</f>
        <v/>
      </c>
      <c r="AM34" s="326"/>
      <c r="AN34" s="82"/>
      <c r="AO34" s="298"/>
      <c r="AP34" s="299"/>
      <c r="AQ34" s="299"/>
      <c r="AR34" s="299"/>
      <c r="AS34" s="299"/>
      <c r="AT34" s="30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266"/>
      <c r="C35" s="266"/>
      <c r="D35" s="267"/>
      <c r="E35" s="307"/>
      <c r="F35" s="308"/>
      <c r="G35" s="308"/>
      <c r="H35" s="308"/>
      <c r="I35" s="308"/>
      <c r="J35" s="344"/>
      <c r="K35" s="342"/>
      <c r="L35" s="342"/>
      <c r="M35" s="342"/>
      <c r="N35" s="342"/>
      <c r="O35" s="343"/>
      <c r="P35" s="334"/>
      <c r="Q35" s="334"/>
      <c r="R35" s="334"/>
      <c r="S35" s="334"/>
      <c r="T35" s="334"/>
      <c r="U35" s="335"/>
      <c r="V35" s="333"/>
      <c r="W35" s="334"/>
      <c r="X35" s="334"/>
      <c r="Y35" s="334"/>
      <c r="Z35" s="334"/>
      <c r="AA35" s="335"/>
      <c r="AB35" s="317"/>
      <c r="AC35" s="313"/>
      <c r="AD35" s="313"/>
      <c r="AE35" s="313"/>
      <c r="AF35" s="313"/>
      <c r="AG35" s="314"/>
      <c r="AH35" s="324"/>
      <c r="AI35" s="325"/>
      <c r="AJ35" s="325"/>
      <c r="AK35" s="325"/>
      <c r="AL35" s="325"/>
      <c r="AM35" s="326"/>
      <c r="AN35" s="82"/>
      <c r="AO35" s="298"/>
      <c r="AP35" s="299"/>
      <c r="AQ35" s="299"/>
      <c r="AR35" s="299"/>
      <c r="AS35" s="299"/>
      <c r="AT35" s="300"/>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266"/>
      <c r="C36" s="266"/>
      <c r="D36" s="267"/>
      <c r="E36" s="307"/>
      <c r="F36" s="308"/>
      <c r="G36" s="308"/>
      <c r="H36" s="308"/>
      <c r="I36" s="308"/>
      <c r="J36" s="344" t="str">
        <f ca="1">IF(AND('Mapa final'!$K$59="Baja",'Mapa final'!$O$59="Leve"),CONCATENATE("R",'Mapa final'!$A$59),"")</f>
        <v/>
      </c>
      <c r="K36" s="342"/>
      <c r="L36" s="342" t="str">
        <f>IF(AND('Mapa final'!$K$65="Baja",'Mapa final'!$O$65="Leve"),CONCATENATE("R",'Mapa final'!$A$65),"")</f>
        <v/>
      </c>
      <c r="M36" s="342"/>
      <c r="N36" s="342" t="str">
        <f>IF(AND('Mapa final'!$K$71="Baja",'Mapa final'!$O$71="Leve"),CONCATENATE("R",'Mapa final'!$A$71),"")</f>
        <v/>
      </c>
      <c r="O36" s="343"/>
      <c r="P36" s="334" t="str">
        <f ca="1">IF(AND('Mapa final'!$K$59="Baja",'Mapa final'!$O$59="Menor"),CONCATENATE("R",'Mapa final'!$A$59),"")</f>
        <v/>
      </c>
      <c r="Q36" s="334"/>
      <c r="R36" s="334" t="str">
        <f>IF(AND('Mapa final'!$K$65="Baja",'Mapa final'!$O$65="Menor"),CONCATENATE("R",'Mapa final'!$A$65),"")</f>
        <v/>
      </c>
      <c r="S36" s="334"/>
      <c r="T36" s="334" t="str">
        <f>IF(AND('Mapa final'!$K$71="Baja",'Mapa final'!$O$71="Menor"),CONCATENATE("R",'Mapa final'!$A$71),"")</f>
        <v/>
      </c>
      <c r="U36" s="335"/>
      <c r="V36" s="333" t="str">
        <f ca="1">IF(AND('Mapa final'!$K$59="Baja",'Mapa final'!$O$59="Moderado"),CONCATENATE("R",'Mapa final'!$A$59),"")</f>
        <v/>
      </c>
      <c r="W36" s="334"/>
      <c r="X36" s="334" t="str">
        <f>IF(AND('Mapa final'!$K$65="Baja",'Mapa final'!$O$65="Moderado"),CONCATENATE("R",'Mapa final'!$A$65),"")</f>
        <v/>
      </c>
      <c r="Y36" s="334"/>
      <c r="Z36" s="334" t="str">
        <f>IF(AND('Mapa final'!$K$71="Baja",'Mapa final'!$O$71="Moderado"),CONCATENATE("R",'Mapa final'!$A$71),"")</f>
        <v/>
      </c>
      <c r="AA36" s="335"/>
      <c r="AB36" s="317" t="str">
        <f ca="1">IF(AND('Mapa final'!$K$59="Baja",'Mapa final'!$O$59="Mayor"),CONCATENATE("R",'Mapa final'!$A$59),"")</f>
        <v/>
      </c>
      <c r="AC36" s="313"/>
      <c r="AD36" s="313" t="str">
        <f>IF(AND('Mapa final'!$K$65="Baja",'Mapa final'!$O$65="Mayor"),CONCATENATE("R",'Mapa final'!$A$65),"")</f>
        <v/>
      </c>
      <c r="AE36" s="313"/>
      <c r="AF36" s="313" t="str">
        <f>IF(AND('Mapa final'!$K$71="Baja",'Mapa final'!$O$71="Mayor"),CONCATENATE("R",'Mapa final'!$A$71),"")</f>
        <v/>
      </c>
      <c r="AG36" s="314"/>
      <c r="AH36" s="324" t="str">
        <f ca="1">IF(AND('Mapa final'!$K$59="Baja",'Mapa final'!$O$59="Catastrófico"),CONCATENATE("R",'Mapa final'!$A$59),"")</f>
        <v/>
      </c>
      <c r="AI36" s="325"/>
      <c r="AJ36" s="325" t="str">
        <f>IF(AND('Mapa final'!$K$65="Baja",'Mapa final'!$O$65="Catastrófico"),CONCATENATE("R",'Mapa final'!$A$65),"")</f>
        <v/>
      </c>
      <c r="AK36" s="325"/>
      <c r="AL36" s="325" t="str">
        <f>IF(AND('Mapa final'!$K$71="Baja",'Mapa final'!$O$71="Catastrófico"),CONCATENATE("R",'Mapa final'!$A$71),"")</f>
        <v/>
      </c>
      <c r="AM36" s="326"/>
      <c r="AN36" s="82"/>
      <c r="AO36" s="298"/>
      <c r="AP36" s="299"/>
      <c r="AQ36" s="299"/>
      <c r="AR36" s="299"/>
      <c r="AS36" s="299"/>
      <c r="AT36" s="30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266"/>
      <c r="C37" s="266"/>
      <c r="D37" s="267"/>
      <c r="E37" s="310"/>
      <c r="F37" s="311"/>
      <c r="G37" s="311"/>
      <c r="H37" s="311"/>
      <c r="I37" s="311"/>
      <c r="J37" s="345"/>
      <c r="K37" s="346"/>
      <c r="L37" s="346"/>
      <c r="M37" s="346"/>
      <c r="N37" s="346"/>
      <c r="O37" s="347"/>
      <c r="P37" s="337"/>
      <c r="Q37" s="337"/>
      <c r="R37" s="337"/>
      <c r="S37" s="337"/>
      <c r="T37" s="337"/>
      <c r="U37" s="338"/>
      <c r="V37" s="336"/>
      <c r="W37" s="337"/>
      <c r="X37" s="337"/>
      <c r="Y37" s="337"/>
      <c r="Z37" s="337"/>
      <c r="AA37" s="338"/>
      <c r="AB37" s="321"/>
      <c r="AC37" s="322"/>
      <c r="AD37" s="322"/>
      <c r="AE37" s="322"/>
      <c r="AF37" s="322"/>
      <c r="AG37" s="323"/>
      <c r="AH37" s="327"/>
      <c r="AI37" s="328"/>
      <c r="AJ37" s="328"/>
      <c r="AK37" s="328"/>
      <c r="AL37" s="328"/>
      <c r="AM37" s="329"/>
      <c r="AN37" s="82"/>
      <c r="AO37" s="301"/>
      <c r="AP37" s="302"/>
      <c r="AQ37" s="302"/>
      <c r="AR37" s="302"/>
      <c r="AS37" s="302"/>
      <c r="AT37" s="303"/>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266"/>
      <c r="C38" s="266"/>
      <c r="D38" s="267"/>
      <c r="E38" s="304" t="s">
        <v>105</v>
      </c>
      <c r="F38" s="305"/>
      <c r="G38" s="305"/>
      <c r="H38" s="305"/>
      <c r="I38" s="306"/>
      <c r="J38" s="348" t="str">
        <f ca="1">IF(AND('Mapa final'!$K$11="Muy Baja",'Mapa final'!$O$11="Leve"),CONCATENATE("R",'Mapa final'!$A$11),"")</f>
        <v/>
      </c>
      <c r="K38" s="349"/>
      <c r="L38" s="349" t="str">
        <f ca="1">IF(AND('Mapa final'!$K$17="Muy Baja",'Mapa final'!$O$17="Leve"),CONCATENATE("R",'Mapa final'!$A$17),"")</f>
        <v/>
      </c>
      <c r="M38" s="349"/>
      <c r="N38" s="349" t="str">
        <f ca="1">IF(AND('Mapa final'!$K$23="Muy Baja",'Mapa final'!$O$23="Leve"),CONCATENATE("R",'Mapa final'!$A$23),"")</f>
        <v/>
      </c>
      <c r="O38" s="350"/>
      <c r="P38" s="348" t="str">
        <f ca="1">IF(AND('Mapa final'!$K$11="Muy Baja",'Mapa final'!$O$11="Menor"),CONCATENATE("R",'Mapa final'!$A$11),"")</f>
        <v/>
      </c>
      <c r="Q38" s="349"/>
      <c r="R38" s="349" t="str">
        <f ca="1">IF(AND('Mapa final'!$K$17="Muy Baja",'Mapa final'!$O$17="Menor"),CONCATENATE("R",'Mapa final'!$A$17),"")</f>
        <v/>
      </c>
      <c r="S38" s="349"/>
      <c r="T38" s="349" t="str">
        <f ca="1">IF(AND('Mapa final'!$K$23="Muy Baja",'Mapa final'!$O$23="Menor"),CONCATENATE("R",'Mapa final'!$A$23),"")</f>
        <v/>
      </c>
      <c r="U38" s="350"/>
      <c r="V38" s="339" t="str">
        <f ca="1">IF(AND('Mapa final'!$K$11="Muy Baja",'Mapa final'!$O$11="Moderado"),CONCATENATE("R",'Mapa final'!$A$11),"")</f>
        <v/>
      </c>
      <c r="W38" s="340"/>
      <c r="X38" s="340" t="str">
        <f ca="1">IF(AND('Mapa final'!$K$17="Muy Baja",'Mapa final'!$O$17="Moderado"),CONCATENATE("R",'Mapa final'!$A$17),"")</f>
        <v/>
      </c>
      <c r="Y38" s="340"/>
      <c r="Z38" s="340" t="str">
        <f ca="1">IF(AND('Mapa final'!$K$23="Muy Baja",'Mapa final'!$O$23="Moderado"),CONCATENATE("R",'Mapa final'!$A$23),"")</f>
        <v/>
      </c>
      <c r="AA38" s="341"/>
      <c r="AB38" s="315" t="str">
        <f ca="1">IF(AND('Mapa final'!$K$11="Muy Baja",'Mapa final'!$O$11="Mayor"),CONCATENATE("R",'Mapa final'!$A$11),"")</f>
        <v/>
      </c>
      <c r="AC38" s="316"/>
      <c r="AD38" s="316" t="str">
        <f ca="1">IF(AND('Mapa final'!$K$17="Muy Baja",'Mapa final'!$O$17="Mayor"),CONCATENATE("R",'Mapa final'!$A$17),"")</f>
        <v/>
      </c>
      <c r="AE38" s="316"/>
      <c r="AF38" s="316" t="str">
        <f ca="1">IF(AND('Mapa final'!$K$23="Muy Baja",'Mapa final'!$O$23="Mayor"),CONCATENATE("R",'Mapa final'!$A$23),"")</f>
        <v/>
      </c>
      <c r="AG38" s="318"/>
      <c r="AH38" s="330" t="str">
        <f ca="1">IF(AND('Mapa final'!$K$11="Muy Baja",'Mapa final'!$O$11="Catastrófico"),CONCATENATE("R",'Mapa final'!$A$11),"")</f>
        <v/>
      </c>
      <c r="AI38" s="331"/>
      <c r="AJ38" s="331" t="str">
        <f ca="1">IF(AND('Mapa final'!$K$17="Muy Baja",'Mapa final'!$O$17="Catastrófico"),CONCATENATE("R",'Mapa final'!$A$17),"")</f>
        <v/>
      </c>
      <c r="AK38" s="331"/>
      <c r="AL38" s="331" t="str">
        <f ca="1">IF(AND('Mapa final'!$K$23="Muy Baja",'Mapa final'!$O$23="Catastrófico"),CONCATENATE("R",'Mapa final'!$A$23),"")</f>
        <v/>
      </c>
      <c r="AM38" s="33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266"/>
      <c r="C39" s="266"/>
      <c r="D39" s="267"/>
      <c r="E39" s="307"/>
      <c r="F39" s="308"/>
      <c r="G39" s="308"/>
      <c r="H39" s="308"/>
      <c r="I39" s="309"/>
      <c r="J39" s="344"/>
      <c r="K39" s="342"/>
      <c r="L39" s="342"/>
      <c r="M39" s="342"/>
      <c r="N39" s="342"/>
      <c r="O39" s="343"/>
      <c r="P39" s="344"/>
      <c r="Q39" s="342"/>
      <c r="R39" s="342"/>
      <c r="S39" s="342"/>
      <c r="T39" s="342"/>
      <c r="U39" s="343"/>
      <c r="V39" s="333"/>
      <c r="W39" s="334"/>
      <c r="X39" s="334"/>
      <c r="Y39" s="334"/>
      <c r="Z39" s="334"/>
      <c r="AA39" s="335"/>
      <c r="AB39" s="317"/>
      <c r="AC39" s="313"/>
      <c r="AD39" s="313"/>
      <c r="AE39" s="313"/>
      <c r="AF39" s="313"/>
      <c r="AG39" s="314"/>
      <c r="AH39" s="324"/>
      <c r="AI39" s="325"/>
      <c r="AJ39" s="325"/>
      <c r="AK39" s="325"/>
      <c r="AL39" s="325"/>
      <c r="AM39" s="326"/>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266"/>
      <c r="C40" s="266"/>
      <c r="D40" s="267"/>
      <c r="E40" s="307"/>
      <c r="F40" s="308"/>
      <c r="G40" s="308"/>
      <c r="H40" s="308"/>
      <c r="I40" s="309"/>
      <c r="J40" s="344" t="str">
        <f ca="1">IF(AND('Mapa final'!$K$29="Muy Baja",'Mapa final'!$O$29="Leve"),CONCATENATE("R",'Mapa final'!$A$29),"")</f>
        <v/>
      </c>
      <c r="K40" s="342"/>
      <c r="L40" s="342" t="e">
        <f>IF(AND('Mapa final'!#REF!="Muy Baja",'Mapa final'!#REF!="Leve"),CONCATENATE("R",'Mapa final'!#REF!),"")</f>
        <v>#REF!</v>
      </c>
      <c r="M40" s="342"/>
      <c r="N40" s="342" t="str">
        <f ca="1">IF(AND('Mapa final'!$K$35="Muy Baja",'Mapa final'!$O$35="Leve"),CONCATENATE("R",'Mapa final'!$A$35),"")</f>
        <v/>
      </c>
      <c r="O40" s="343"/>
      <c r="P40" s="344" t="str">
        <f ca="1">IF(AND('Mapa final'!$K$29="Muy Baja",'Mapa final'!$O$29="Menor"),CONCATENATE("R",'Mapa final'!$A$29),"")</f>
        <v/>
      </c>
      <c r="Q40" s="342"/>
      <c r="R40" s="342" t="e">
        <f>IF(AND('Mapa final'!#REF!="Muy Baja",'Mapa final'!#REF!="Menor"),CONCATENATE("R",'Mapa final'!#REF!),"")</f>
        <v>#REF!</v>
      </c>
      <c r="S40" s="342"/>
      <c r="T40" s="342" t="str">
        <f ca="1">IF(AND('Mapa final'!$K$35="Muy Baja",'Mapa final'!$O$35="Menor"),CONCATENATE("R",'Mapa final'!$A$35),"")</f>
        <v/>
      </c>
      <c r="U40" s="343"/>
      <c r="V40" s="333" t="str">
        <f ca="1">IF(AND('Mapa final'!$K$29="Muy Baja",'Mapa final'!$O$29="Moderado"),CONCATENATE("R",'Mapa final'!$A$29),"")</f>
        <v/>
      </c>
      <c r="W40" s="334"/>
      <c r="X40" s="334" t="e">
        <f>IF(AND('Mapa final'!#REF!="Muy Baja",'Mapa final'!#REF!="Moderado"),CONCATENATE("R",'Mapa final'!#REF!),"")</f>
        <v>#REF!</v>
      </c>
      <c r="Y40" s="334"/>
      <c r="Z40" s="334" t="str">
        <f ca="1">IF(AND('Mapa final'!$K$35="Muy Baja",'Mapa final'!$O$35="Moderado"),CONCATENATE("R",'Mapa final'!$A$35),"")</f>
        <v/>
      </c>
      <c r="AA40" s="335"/>
      <c r="AB40" s="317" t="str">
        <f ca="1">IF(AND('Mapa final'!$K$29="Muy Baja",'Mapa final'!$O$29="Mayor"),CONCATENATE("R",'Mapa final'!$A$29),"")</f>
        <v/>
      </c>
      <c r="AC40" s="313"/>
      <c r="AD40" s="313" t="e">
        <f>IF(AND('Mapa final'!#REF!="Muy Baja",'Mapa final'!#REF!="Mayor"),CONCATENATE("R",'Mapa final'!#REF!),"")</f>
        <v>#REF!</v>
      </c>
      <c r="AE40" s="313"/>
      <c r="AF40" s="313" t="str">
        <f ca="1">IF(AND('Mapa final'!$K$35="Muy Baja",'Mapa final'!$O$35="Mayor"),CONCATENATE("R",'Mapa final'!$A$35),"")</f>
        <v/>
      </c>
      <c r="AG40" s="314"/>
      <c r="AH40" s="324" t="str">
        <f ca="1">IF(AND('Mapa final'!$K$29="Muy Baja",'Mapa final'!$O$29="Catastrófico"),CONCATENATE("R",'Mapa final'!$A$29),"")</f>
        <v/>
      </c>
      <c r="AI40" s="325"/>
      <c r="AJ40" s="325" t="e">
        <f>IF(AND('Mapa final'!#REF!="Muy Baja",'Mapa final'!#REF!="Catastrófico"),CONCATENATE("R",'Mapa final'!#REF!),"")</f>
        <v>#REF!</v>
      </c>
      <c r="AK40" s="325"/>
      <c r="AL40" s="325" t="str">
        <f ca="1">IF(AND('Mapa final'!$K$35="Muy Baja",'Mapa final'!$O$35="Catastrófico"),CONCATENATE("R",'Mapa final'!$A$35),"")</f>
        <v/>
      </c>
      <c r="AM40" s="326"/>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266"/>
      <c r="C41" s="266"/>
      <c r="D41" s="267"/>
      <c r="E41" s="307"/>
      <c r="F41" s="308"/>
      <c r="G41" s="308"/>
      <c r="H41" s="308"/>
      <c r="I41" s="309"/>
      <c r="J41" s="344"/>
      <c r="K41" s="342"/>
      <c r="L41" s="342"/>
      <c r="M41" s="342"/>
      <c r="N41" s="342"/>
      <c r="O41" s="343"/>
      <c r="P41" s="344"/>
      <c r="Q41" s="342"/>
      <c r="R41" s="342"/>
      <c r="S41" s="342"/>
      <c r="T41" s="342"/>
      <c r="U41" s="343"/>
      <c r="V41" s="333"/>
      <c r="W41" s="334"/>
      <c r="X41" s="334"/>
      <c r="Y41" s="334"/>
      <c r="Z41" s="334"/>
      <c r="AA41" s="335"/>
      <c r="AB41" s="317"/>
      <c r="AC41" s="313"/>
      <c r="AD41" s="313"/>
      <c r="AE41" s="313"/>
      <c r="AF41" s="313"/>
      <c r="AG41" s="314"/>
      <c r="AH41" s="324"/>
      <c r="AI41" s="325"/>
      <c r="AJ41" s="325"/>
      <c r="AK41" s="325"/>
      <c r="AL41" s="325"/>
      <c r="AM41" s="326"/>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266"/>
      <c r="C42" s="266"/>
      <c r="D42" s="267"/>
      <c r="E42" s="307"/>
      <c r="F42" s="308"/>
      <c r="G42" s="308"/>
      <c r="H42" s="308"/>
      <c r="I42" s="309"/>
      <c r="J42" s="344" t="str">
        <f ca="1">IF(AND('Mapa final'!$K$41="Muy Baja",'Mapa final'!$O$41="Leve"),CONCATENATE("R",'Mapa final'!$A$41),"")</f>
        <v/>
      </c>
      <c r="K42" s="342"/>
      <c r="L42" s="342" t="str">
        <f ca="1">IF(AND('Mapa final'!$K$47="Muy Baja",'Mapa final'!$O$47="Leve"),CONCATENATE("R",'Mapa final'!$A$47),"")</f>
        <v/>
      </c>
      <c r="M42" s="342"/>
      <c r="N42" s="342" t="str">
        <f ca="1">IF(AND('Mapa final'!$K$53="Muy Baja",'Mapa final'!$O$53="Leve"),CONCATENATE("R",'Mapa final'!$A$53),"")</f>
        <v/>
      </c>
      <c r="O42" s="343"/>
      <c r="P42" s="344" t="str">
        <f ca="1">IF(AND('Mapa final'!$K$41="Muy Baja",'Mapa final'!$O$41="Menor"),CONCATENATE("R",'Mapa final'!$A$41),"")</f>
        <v/>
      </c>
      <c r="Q42" s="342"/>
      <c r="R42" s="342" t="str">
        <f ca="1">IF(AND('Mapa final'!$K$47="Muy Baja",'Mapa final'!$O$47="Menor"),CONCATENATE("R",'Mapa final'!$A$47),"")</f>
        <v/>
      </c>
      <c r="S42" s="342"/>
      <c r="T42" s="342" t="str">
        <f ca="1">IF(AND('Mapa final'!$K$53="Muy Baja",'Mapa final'!$O$53="Menor"),CONCATENATE("R",'Mapa final'!$A$53),"")</f>
        <v/>
      </c>
      <c r="U42" s="343"/>
      <c r="V42" s="333" t="str">
        <f ca="1">IF(AND('Mapa final'!$K$41="Muy Baja",'Mapa final'!$O$41="Moderado"),CONCATENATE("R",'Mapa final'!$A$41),"")</f>
        <v/>
      </c>
      <c r="W42" s="334"/>
      <c r="X42" s="334" t="str">
        <f ca="1">IF(AND('Mapa final'!$K$47="Muy Baja",'Mapa final'!$O$47="Moderado"),CONCATENATE("R",'Mapa final'!$A$47),"")</f>
        <v/>
      </c>
      <c r="Y42" s="334"/>
      <c r="Z42" s="334" t="str">
        <f ca="1">IF(AND('Mapa final'!$K$53="Muy Baja",'Mapa final'!$O$53="Moderado"),CONCATENATE("R",'Mapa final'!$A$53),"")</f>
        <v/>
      </c>
      <c r="AA42" s="335"/>
      <c r="AB42" s="317" t="str">
        <f ca="1">IF(AND('Mapa final'!$K$41="Muy Baja",'Mapa final'!$O$41="Mayor"),CONCATENATE("R",'Mapa final'!$A$41),"")</f>
        <v/>
      </c>
      <c r="AC42" s="313"/>
      <c r="AD42" s="313" t="str">
        <f ca="1">IF(AND('Mapa final'!$K$47="Muy Baja",'Mapa final'!$O$47="Mayor"),CONCATENATE("R",'Mapa final'!$A$47),"")</f>
        <v/>
      </c>
      <c r="AE42" s="313"/>
      <c r="AF42" s="313" t="str">
        <f ca="1">IF(AND('Mapa final'!$K$53="Muy Baja",'Mapa final'!$O$53="Mayor"),CONCATENATE("R",'Mapa final'!$A$53),"")</f>
        <v/>
      </c>
      <c r="AG42" s="314"/>
      <c r="AH42" s="324" t="str">
        <f ca="1">IF(AND('Mapa final'!$K$41="Muy Baja",'Mapa final'!$O$41="Catastrófico"),CONCATENATE("R",'Mapa final'!$A$41),"")</f>
        <v/>
      </c>
      <c r="AI42" s="325"/>
      <c r="AJ42" s="325" t="str">
        <f ca="1">IF(AND('Mapa final'!$K$47="Muy Baja",'Mapa final'!$O$47="Catastrófico"),CONCATENATE("R",'Mapa final'!$A$47),"")</f>
        <v/>
      </c>
      <c r="AK42" s="325"/>
      <c r="AL42" s="325" t="str">
        <f ca="1">IF(AND('Mapa final'!$K$53="Muy Baja",'Mapa final'!$O$53="Catastrófico"),CONCATENATE("R",'Mapa final'!$A$53),"")</f>
        <v/>
      </c>
      <c r="AM42" s="326"/>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266"/>
      <c r="C43" s="266"/>
      <c r="D43" s="267"/>
      <c r="E43" s="307"/>
      <c r="F43" s="308"/>
      <c r="G43" s="308"/>
      <c r="H43" s="308"/>
      <c r="I43" s="309"/>
      <c r="J43" s="344"/>
      <c r="K43" s="342"/>
      <c r="L43" s="342"/>
      <c r="M43" s="342"/>
      <c r="N43" s="342"/>
      <c r="O43" s="343"/>
      <c r="P43" s="344"/>
      <c r="Q43" s="342"/>
      <c r="R43" s="342"/>
      <c r="S43" s="342"/>
      <c r="T43" s="342"/>
      <c r="U43" s="343"/>
      <c r="V43" s="333"/>
      <c r="W43" s="334"/>
      <c r="X43" s="334"/>
      <c r="Y43" s="334"/>
      <c r="Z43" s="334"/>
      <c r="AA43" s="335"/>
      <c r="AB43" s="317"/>
      <c r="AC43" s="313"/>
      <c r="AD43" s="313"/>
      <c r="AE43" s="313"/>
      <c r="AF43" s="313"/>
      <c r="AG43" s="314"/>
      <c r="AH43" s="324"/>
      <c r="AI43" s="325"/>
      <c r="AJ43" s="325"/>
      <c r="AK43" s="325"/>
      <c r="AL43" s="325"/>
      <c r="AM43" s="326"/>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266"/>
      <c r="C44" s="266"/>
      <c r="D44" s="267"/>
      <c r="E44" s="307"/>
      <c r="F44" s="308"/>
      <c r="G44" s="308"/>
      <c r="H44" s="308"/>
      <c r="I44" s="309"/>
      <c r="J44" s="344" t="str">
        <f ca="1">IF(AND('Mapa final'!$K$59="Muy Baja",'Mapa final'!$O$59="Leve"),CONCATENATE("R",'Mapa final'!$A$59),"")</f>
        <v/>
      </c>
      <c r="K44" s="342"/>
      <c r="L44" s="342" t="str">
        <f>IF(AND('Mapa final'!$K$65="Muy Baja",'Mapa final'!$O$65="Leve"),CONCATENATE("R",'Mapa final'!$A$65),"")</f>
        <v/>
      </c>
      <c r="M44" s="342"/>
      <c r="N44" s="342" t="str">
        <f>IF(AND('Mapa final'!$K$71="Muy Baja",'Mapa final'!$O$71="Leve"),CONCATENATE("R",'Mapa final'!$A$71),"")</f>
        <v/>
      </c>
      <c r="O44" s="343"/>
      <c r="P44" s="344" t="str">
        <f ca="1">IF(AND('Mapa final'!$K$59="Muy Baja",'Mapa final'!$O$59="Menor"),CONCATENATE("R",'Mapa final'!$A$59),"")</f>
        <v/>
      </c>
      <c r="Q44" s="342"/>
      <c r="R44" s="342" t="str">
        <f>IF(AND('Mapa final'!$K$65="Muy Baja",'Mapa final'!$O$65="Menor"),CONCATENATE("R",'Mapa final'!$A$65),"")</f>
        <v/>
      </c>
      <c r="S44" s="342"/>
      <c r="T44" s="342" t="str">
        <f>IF(AND('Mapa final'!$K$71="Muy Baja",'Mapa final'!$O$71="Menor"),CONCATENATE("R",'Mapa final'!$A$71),"")</f>
        <v/>
      </c>
      <c r="U44" s="343"/>
      <c r="V44" s="333" t="str">
        <f ca="1">IF(AND('Mapa final'!$K$59="Muy Baja",'Mapa final'!$O$59="Moderado"),CONCATENATE("R",'Mapa final'!$A$59),"")</f>
        <v/>
      </c>
      <c r="W44" s="334"/>
      <c r="X44" s="334" t="str">
        <f>IF(AND('Mapa final'!$K$65="Muy Baja",'Mapa final'!$O$65="Moderado"),CONCATENATE("R",'Mapa final'!$A$65),"")</f>
        <v/>
      </c>
      <c r="Y44" s="334"/>
      <c r="Z44" s="334" t="str">
        <f>IF(AND('Mapa final'!$K$71="Muy Baja",'Mapa final'!$O$71="Moderado"),CONCATENATE("R",'Mapa final'!$A$71),"")</f>
        <v/>
      </c>
      <c r="AA44" s="335"/>
      <c r="AB44" s="317" t="str">
        <f ca="1">IF(AND('Mapa final'!$K$59="Muy Baja",'Mapa final'!$O$59="Mayor"),CONCATENATE("R",'Mapa final'!$A$59),"")</f>
        <v/>
      </c>
      <c r="AC44" s="313"/>
      <c r="AD44" s="313" t="str">
        <f>IF(AND('Mapa final'!$K$65="Muy Baja",'Mapa final'!$O$65="Mayor"),CONCATENATE("R",'Mapa final'!$A$65),"")</f>
        <v/>
      </c>
      <c r="AE44" s="313"/>
      <c r="AF44" s="313" t="str">
        <f>IF(AND('Mapa final'!$K$71="Muy Baja",'Mapa final'!$O$71="Mayor"),CONCATENATE("R",'Mapa final'!$A$71),"")</f>
        <v/>
      </c>
      <c r="AG44" s="314"/>
      <c r="AH44" s="324" t="str">
        <f ca="1">IF(AND('Mapa final'!$K$59="Muy Baja",'Mapa final'!$O$59="Catastrófico"),CONCATENATE("R",'Mapa final'!$A$59),"")</f>
        <v/>
      </c>
      <c r="AI44" s="325"/>
      <c r="AJ44" s="325" t="str">
        <f>IF(AND('Mapa final'!$K$65="Muy Baja",'Mapa final'!$O$65="Catastrófico"),CONCATENATE("R",'Mapa final'!$A$65),"")</f>
        <v/>
      </c>
      <c r="AK44" s="325"/>
      <c r="AL44" s="325" t="str">
        <f>IF(AND('Mapa final'!$K$71="Muy Baja",'Mapa final'!$O$71="Catastrófico"),CONCATENATE("R",'Mapa final'!$A$71),"")</f>
        <v/>
      </c>
      <c r="AM44" s="326"/>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266"/>
      <c r="C45" s="266"/>
      <c r="D45" s="267"/>
      <c r="E45" s="310"/>
      <c r="F45" s="311"/>
      <c r="G45" s="311"/>
      <c r="H45" s="311"/>
      <c r="I45" s="312"/>
      <c r="J45" s="345"/>
      <c r="K45" s="346"/>
      <c r="L45" s="346"/>
      <c r="M45" s="346"/>
      <c r="N45" s="346"/>
      <c r="O45" s="347"/>
      <c r="P45" s="345"/>
      <c r="Q45" s="346"/>
      <c r="R45" s="346"/>
      <c r="S45" s="346"/>
      <c r="T45" s="346"/>
      <c r="U45" s="347"/>
      <c r="V45" s="336"/>
      <c r="W45" s="337"/>
      <c r="X45" s="337"/>
      <c r="Y45" s="337"/>
      <c r="Z45" s="337"/>
      <c r="AA45" s="338"/>
      <c r="AB45" s="321"/>
      <c r="AC45" s="322"/>
      <c r="AD45" s="322"/>
      <c r="AE45" s="322"/>
      <c r="AF45" s="322"/>
      <c r="AG45" s="323"/>
      <c r="AH45" s="327"/>
      <c r="AI45" s="328"/>
      <c r="AJ45" s="328"/>
      <c r="AK45" s="328"/>
      <c r="AL45" s="328"/>
      <c r="AM45" s="329"/>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304" t="s">
        <v>104</v>
      </c>
      <c r="K46" s="305"/>
      <c r="L46" s="305"/>
      <c r="M46" s="305"/>
      <c r="N46" s="305"/>
      <c r="O46" s="306"/>
      <c r="P46" s="304" t="s">
        <v>103</v>
      </c>
      <c r="Q46" s="305"/>
      <c r="R46" s="305"/>
      <c r="S46" s="305"/>
      <c r="T46" s="305"/>
      <c r="U46" s="306"/>
      <c r="V46" s="304" t="s">
        <v>102</v>
      </c>
      <c r="W46" s="305"/>
      <c r="X46" s="305"/>
      <c r="Y46" s="305"/>
      <c r="Z46" s="305"/>
      <c r="AA46" s="306"/>
      <c r="AB46" s="304" t="s">
        <v>101</v>
      </c>
      <c r="AC46" s="320"/>
      <c r="AD46" s="305"/>
      <c r="AE46" s="305"/>
      <c r="AF46" s="305"/>
      <c r="AG46" s="306"/>
      <c r="AH46" s="304" t="s">
        <v>100</v>
      </c>
      <c r="AI46" s="305"/>
      <c r="AJ46" s="305"/>
      <c r="AK46" s="305"/>
      <c r="AL46" s="305"/>
      <c r="AM46" s="306"/>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307"/>
      <c r="K47" s="308"/>
      <c r="L47" s="308"/>
      <c r="M47" s="308"/>
      <c r="N47" s="308"/>
      <c r="O47" s="309"/>
      <c r="P47" s="307"/>
      <c r="Q47" s="308"/>
      <c r="R47" s="308"/>
      <c r="S47" s="308"/>
      <c r="T47" s="308"/>
      <c r="U47" s="309"/>
      <c r="V47" s="307"/>
      <c r="W47" s="308"/>
      <c r="X47" s="308"/>
      <c r="Y47" s="308"/>
      <c r="Z47" s="308"/>
      <c r="AA47" s="309"/>
      <c r="AB47" s="307"/>
      <c r="AC47" s="308"/>
      <c r="AD47" s="308"/>
      <c r="AE47" s="308"/>
      <c r="AF47" s="308"/>
      <c r="AG47" s="309"/>
      <c r="AH47" s="307"/>
      <c r="AI47" s="308"/>
      <c r="AJ47" s="308"/>
      <c r="AK47" s="308"/>
      <c r="AL47" s="308"/>
      <c r="AM47" s="309"/>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307"/>
      <c r="K48" s="308"/>
      <c r="L48" s="308"/>
      <c r="M48" s="308"/>
      <c r="N48" s="308"/>
      <c r="O48" s="309"/>
      <c r="P48" s="307"/>
      <c r="Q48" s="308"/>
      <c r="R48" s="308"/>
      <c r="S48" s="308"/>
      <c r="T48" s="308"/>
      <c r="U48" s="309"/>
      <c r="V48" s="307"/>
      <c r="W48" s="308"/>
      <c r="X48" s="308"/>
      <c r="Y48" s="308"/>
      <c r="Z48" s="308"/>
      <c r="AA48" s="309"/>
      <c r="AB48" s="307"/>
      <c r="AC48" s="308"/>
      <c r="AD48" s="308"/>
      <c r="AE48" s="308"/>
      <c r="AF48" s="308"/>
      <c r="AG48" s="309"/>
      <c r="AH48" s="307"/>
      <c r="AI48" s="308"/>
      <c r="AJ48" s="308"/>
      <c r="AK48" s="308"/>
      <c r="AL48" s="308"/>
      <c r="AM48" s="309"/>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307"/>
      <c r="K49" s="308"/>
      <c r="L49" s="308"/>
      <c r="M49" s="308"/>
      <c r="N49" s="308"/>
      <c r="O49" s="309"/>
      <c r="P49" s="307"/>
      <c r="Q49" s="308"/>
      <c r="R49" s="308"/>
      <c r="S49" s="308"/>
      <c r="T49" s="308"/>
      <c r="U49" s="309"/>
      <c r="V49" s="307"/>
      <c r="W49" s="308"/>
      <c r="X49" s="308"/>
      <c r="Y49" s="308"/>
      <c r="Z49" s="308"/>
      <c r="AA49" s="309"/>
      <c r="AB49" s="307"/>
      <c r="AC49" s="308"/>
      <c r="AD49" s="308"/>
      <c r="AE49" s="308"/>
      <c r="AF49" s="308"/>
      <c r="AG49" s="309"/>
      <c r="AH49" s="307"/>
      <c r="AI49" s="308"/>
      <c r="AJ49" s="308"/>
      <c r="AK49" s="308"/>
      <c r="AL49" s="308"/>
      <c r="AM49" s="309"/>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307"/>
      <c r="K50" s="308"/>
      <c r="L50" s="308"/>
      <c r="M50" s="308"/>
      <c r="N50" s="308"/>
      <c r="O50" s="309"/>
      <c r="P50" s="307"/>
      <c r="Q50" s="308"/>
      <c r="R50" s="308"/>
      <c r="S50" s="308"/>
      <c r="T50" s="308"/>
      <c r="U50" s="309"/>
      <c r="V50" s="307"/>
      <c r="W50" s="308"/>
      <c r="X50" s="308"/>
      <c r="Y50" s="308"/>
      <c r="Z50" s="308"/>
      <c r="AA50" s="309"/>
      <c r="AB50" s="307"/>
      <c r="AC50" s="308"/>
      <c r="AD50" s="308"/>
      <c r="AE50" s="308"/>
      <c r="AF50" s="308"/>
      <c r="AG50" s="309"/>
      <c r="AH50" s="307"/>
      <c r="AI50" s="308"/>
      <c r="AJ50" s="308"/>
      <c r="AK50" s="308"/>
      <c r="AL50" s="308"/>
      <c r="AM50" s="309"/>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310"/>
      <c r="K51" s="311"/>
      <c r="L51" s="311"/>
      <c r="M51" s="311"/>
      <c r="N51" s="311"/>
      <c r="O51" s="312"/>
      <c r="P51" s="310"/>
      <c r="Q51" s="311"/>
      <c r="R51" s="311"/>
      <c r="S51" s="311"/>
      <c r="T51" s="311"/>
      <c r="U51" s="312"/>
      <c r="V51" s="310"/>
      <c r="W51" s="311"/>
      <c r="X51" s="311"/>
      <c r="Y51" s="311"/>
      <c r="Z51" s="311"/>
      <c r="AA51" s="312"/>
      <c r="AB51" s="310"/>
      <c r="AC51" s="311"/>
      <c r="AD51" s="311"/>
      <c r="AE51" s="311"/>
      <c r="AF51" s="311"/>
      <c r="AG51" s="312"/>
      <c r="AH51" s="310"/>
      <c r="AI51" s="311"/>
      <c r="AJ51" s="311"/>
      <c r="AK51" s="311"/>
      <c r="AL51" s="311"/>
      <c r="AM51" s="31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B2" sqref="B2:I4"/>
    </sheetView>
  </sheetViews>
  <sheetFormatPr baseColWidth="10" defaultRowHeight="15" x14ac:dyDescent="0.25"/>
  <cols>
    <col min="2" max="18" width="5.5703125" customWidth="1"/>
    <col min="19" max="19" width="8.42578125" customWidth="1"/>
    <col min="20" max="23" width="5.5703125" customWidth="1"/>
    <col min="24" max="24" width="8.42578125" customWidth="1"/>
    <col min="25" max="26" width="5.5703125" customWidth="1"/>
    <col min="27" max="27" width="10.5703125" customWidth="1"/>
    <col min="28" max="28" width="5.5703125" customWidth="1"/>
    <col min="29" max="29" width="7.42578125" customWidth="1"/>
    <col min="30" max="33" width="5.5703125" customWidth="1"/>
    <col min="34" max="34" width="8.42578125" customWidth="1"/>
    <col min="35" max="39" width="5.5703125" customWidth="1"/>
    <col min="41" max="46" width="5.570312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377" t="s">
        <v>142</v>
      </c>
      <c r="C2" s="378"/>
      <c r="D2" s="378"/>
      <c r="E2" s="378"/>
      <c r="F2" s="378"/>
      <c r="G2" s="378"/>
      <c r="H2" s="378"/>
      <c r="I2" s="378"/>
      <c r="J2" s="319" t="s">
        <v>2</v>
      </c>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378"/>
      <c r="C3" s="378"/>
      <c r="D3" s="378"/>
      <c r="E3" s="378"/>
      <c r="F3" s="378"/>
      <c r="G3" s="378"/>
      <c r="H3" s="378"/>
      <c r="I3" s="378"/>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378"/>
      <c r="C4" s="378"/>
      <c r="D4" s="378"/>
      <c r="E4" s="378"/>
      <c r="F4" s="378"/>
      <c r="G4" s="378"/>
      <c r="H4" s="378"/>
      <c r="I4" s="378"/>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266" t="s">
        <v>3</v>
      </c>
      <c r="C6" s="266"/>
      <c r="D6" s="267"/>
      <c r="E6" s="361" t="s">
        <v>108</v>
      </c>
      <c r="F6" s="362"/>
      <c r="G6" s="362"/>
      <c r="H6" s="362"/>
      <c r="I6" s="379"/>
      <c r="J6" s="45" t="str">
        <f ca="1">IF(AND('Mapa final'!$AB$11="Muy Alta",'Mapa final'!$AD$11="Leve"),CONCATENATE("R1C",'Mapa final'!$R$11),"")</f>
        <v/>
      </c>
      <c r="K6" s="46" t="str">
        <f ca="1">IF(AND('Mapa final'!$AB$12="Muy Alta",'Mapa final'!$AD$12="Leve"),CONCATENATE("R1C",'Mapa final'!$R$12),"")</f>
        <v/>
      </c>
      <c r="L6" s="46" t="str">
        <f>IF(AND('Mapa final'!$AB$13="Muy Alta",'Mapa final'!$AD$13="Leve"),CONCATENATE("R1C",'Mapa final'!$R$13),"")</f>
        <v/>
      </c>
      <c r="M6" s="46" t="str">
        <f>IF(AND('Mapa final'!$AB$14="Muy Alta",'Mapa final'!$AD$14="Leve"),CONCATENATE("R1C",'Mapa final'!$R$14),"")</f>
        <v/>
      </c>
      <c r="N6" s="46" t="str">
        <f>IF(AND('Mapa final'!$AB$15="Muy Alta",'Mapa final'!$AD$15="Leve"),CONCATENATE("R1C",'Mapa final'!$R$15),"")</f>
        <v/>
      </c>
      <c r="O6" s="47" t="str">
        <f>IF(AND('Mapa final'!$AB$16="Muy Alta",'Mapa final'!$AD$16="Leve"),CONCATENATE("R1C",'Mapa final'!$R$16),"")</f>
        <v/>
      </c>
      <c r="P6" s="45" t="str">
        <f ca="1">IF(AND('Mapa final'!$AB$11="Muy Alta",'Mapa final'!$AD$11="Menor"),CONCATENATE("R1C",'Mapa final'!$R$11),"")</f>
        <v/>
      </c>
      <c r="Q6" s="46" t="str">
        <f ca="1">IF(AND('Mapa final'!$AB$12="Muy Alta",'Mapa final'!$AD$12="Menor"),CONCATENATE("R1C",'Mapa final'!$R$12),"")</f>
        <v/>
      </c>
      <c r="R6" s="46" t="str">
        <f>IF(AND('Mapa final'!$AB$13="Muy Alta",'Mapa final'!$AD$13="Menor"),CONCATENATE("R1C",'Mapa final'!$R$13),"")</f>
        <v/>
      </c>
      <c r="S6" s="46" t="str">
        <f>IF(AND('Mapa final'!$AB$14="Muy Alta",'Mapa final'!$AD$14="Menor"),CONCATENATE("R1C",'Mapa final'!$R$14),"")</f>
        <v/>
      </c>
      <c r="T6" s="46" t="str">
        <f>IF(AND('Mapa final'!$AB$15="Muy Alta",'Mapa final'!$AD$15="Menor"),CONCATENATE("R1C",'Mapa final'!$R$15),"")</f>
        <v/>
      </c>
      <c r="U6" s="47" t="str">
        <f>IF(AND('Mapa final'!$AB$16="Muy Alta",'Mapa final'!$AD$16="Menor"),CONCATENATE("R1C",'Mapa final'!$R$16),"")</f>
        <v/>
      </c>
      <c r="V6" s="45" t="str">
        <f ca="1">IF(AND('Mapa final'!$AB$11="Muy Alta",'Mapa final'!$AD$11="Moderado"),CONCATENATE("R1C",'Mapa final'!$R$11),"")</f>
        <v/>
      </c>
      <c r="W6" s="46" t="str">
        <f ca="1">IF(AND('Mapa final'!$AB$12="Muy Alta",'Mapa final'!$AD$12="Moderado"),CONCATENATE("R1C",'Mapa final'!$R$12),"")</f>
        <v/>
      </c>
      <c r="X6" s="46" t="str">
        <f>IF(AND('Mapa final'!$AB$13="Muy Alta",'Mapa final'!$AD$13="Moderado"),CONCATENATE("R1C",'Mapa final'!$R$13),"")</f>
        <v/>
      </c>
      <c r="Y6" s="46" t="str">
        <f>IF(AND('Mapa final'!$AB$14="Muy Alta",'Mapa final'!$AD$14="Moderado"),CONCATENATE("R1C",'Mapa final'!$R$14),"")</f>
        <v/>
      </c>
      <c r="Z6" s="46" t="str">
        <f>IF(AND('Mapa final'!$AB$15="Muy Alta",'Mapa final'!$AD$15="Moderado"),CONCATENATE("R1C",'Mapa final'!$R$15),"")</f>
        <v/>
      </c>
      <c r="AA6" s="47" t="str">
        <f>IF(AND('Mapa final'!$AB$16="Muy Alta",'Mapa final'!$AD$16="Moderado"),CONCATENATE("R1C",'Mapa final'!$R$16),"")</f>
        <v/>
      </c>
      <c r="AB6" s="45" t="str">
        <f ca="1">IF(AND('Mapa final'!$AB$11="Muy Alta",'Mapa final'!$AD$11="Mayor"),CONCATENATE("R1C",'Mapa final'!$R$11),"")</f>
        <v/>
      </c>
      <c r="AC6" s="46" t="str">
        <f ca="1">IF(AND('Mapa final'!$AB$12="Muy Alta",'Mapa final'!$AD$12="Mayor"),CONCATENATE("R1C",'Mapa final'!$R$12),"")</f>
        <v/>
      </c>
      <c r="AD6" s="46" t="str">
        <f>IF(AND('Mapa final'!$AB$13="Muy Alta",'Mapa final'!$AD$13="Mayor"),CONCATENATE("R1C",'Mapa final'!$R$13),"")</f>
        <v/>
      </c>
      <c r="AE6" s="46" t="str">
        <f>IF(AND('Mapa final'!$AB$14="Muy Alta",'Mapa final'!$AD$14="Mayor"),CONCATENATE("R1C",'Mapa final'!$R$14),"")</f>
        <v/>
      </c>
      <c r="AF6" s="46" t="str">
        <f>IF(AND('Mapa final'!$AB$15="Muy Alta",'Mapa final'!$AD$15="Mayor"),CONCATENATE("R1C",'Mapa final'!$R$15),"")</f>
        <v/>
      </c>
      <c r="AG6" s="47" t="str">
        <f>IF(AND('Mapa final'!$AB$16="Muy Alta",'Mapa final'!$AD$16="Mayor"),CONCATENATE("R1C",'Mapa final'!$R$16),"")</f>
        <v/>
      </c>
      <c r="AH6" s="48" t="str">
        <f ca="1">IF(AND('Mapa final'!$AB$11="Muy Alta",'Mapa final'!$AD$11="Catastrófico"),CONCATENATE("R1C",'Mapa final'!$R$11),"")</f>
        <v/>
      </c>
      <c r="AI6" s="49" t="str">
        <f ca="1">IF(AND('Mapa final'!$AB$12="Muy Alta",'Mapa final'!$AD$12="Catastrófico"),CONCATENATE("R1C",'Mapa final'!$R$12),"")</f>
        <v/>
      </c>
      <c r="AJ6" s="49" t="str">
        <f>IF(AND('Mapa final'!$AB$13="Muy Alta",'Mapa final'!$AD$13="Catastrófico"),CONCATENATE("R1C",'Mapa final'!$R$13),"")</f>
        <v/>
      </c>
      <c r="AK6" s="49" t="str">
        <f>IF(AND('Mapa final'!$AB$14="Muy Alta",'Mapa final'!$AD$14="Catastrófico"),CONCATENATE("R1C",'Mapa final'!$R$14),"")</f>
        <v/>
      </c>
      <c r="AL6" s="49" t="str">
        <f>IF(AND('Mapa final'!$AB$15="Muy Alta",'Mapa final'!$AD$15="Catastrófico"),CONCATENATE("R1C",'Mapa final'!$R$15),"")</f>
        <v/>
      </c>
      <c r="AM6" s="50" t="str">
        <f>IF(AND('Mapa final'!$AB$16="Muy Alta",'Mapa final'!$AD$16="Catastrófico"),CONCATENATE("R1C",'Mapa final'!$R$16),"")</f>
        <v/>
      </c>
      <c r="AN6" s="82"/>
      <c r="AO6" s="368" t="s">
        <v>76</v>
      </c>
      <c r="AP6" s="369"/>
      <c r="AQ6" s="369"/>
      <c r="AR6" s="369"/>
      <c r="AS6" s="369"/>
      <c r="AT6" s="370"/>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266"/>
      <c r="C7" s="266"/>
      <c r="D7" s="267"/>
      <c r="E7" s="365"/>
      <c r="F7" s="364"/>
      <c r="G7" s="364"/>
      <c r="H7" s="364"/>
      <c r="I7" s="380"/>
      <c r="J7" s="51" t="str">
        <f ca="1">IF(AND('Mapa final'!$AB$17="Muy Alta",'Mapa final'!$AD$17="Leve"),CONCATENATE("R2C",'Mapa final'!$R$17),"")</f>
        <v/>
      </c>
      <c r="K7" s="52" t="str">
        <f>IF(AND('Mapa final'!$AB$18="Muy Alta",'Mapa final'!$AD$18="Leve"),CONCATENATE("R2C",'Mapa final'!$R$18),"")</f>
        <v/>
      </c>
      <c r="L7" s="52" t="str">
        <f>IF(AND('Mapa final'!$AB$19="Muy Alta",'Mapa final'!$AD$19="Leve"),CONCATENATE("R2C",'Mapa final'!$R$19),"")</f>
        <v/>
      </c>
      <c r="M7" s="52" t="str">
        <f>IF(AND('Mapa final'!$AB$20="Muy Alta",'Mapa final'!$AD$20="Leve"),CONCATENATE("R2C",'Mapa final'!$R$20),"")</f>
        <v/>
      </c>
      <c r="N7" s="52" t="str">
        <f>IF(AND('Mapa final'!$AB$21="Muy Alta",'Mapa final'!$AD$21="Leve"),CONCATENATE("R2C",'Mapa final'!$R$21),"")</f>
        <v/>
      </c>
      <c r="O7" s="53" t="str">
        <f>IF(AND('Mapa final'!$AB$22="Muy Alta",'Mapa final'!$AD$22="Leve"),CONCATENATE("R2C",'Mapa final'!$R$22),"")</f>
        <v/>
      </c>
      <c r="P7" s="51" t="str">
        <f ca="1">IF(AND('Mapa final'!$AB$17="Muy Alta",'Mapa final'!$AD$17="Menor"),CONCATENATE("R2C",'Mapa final'!$R$17),"")</f>
        <v/>
      </c>
      <c r="Q7" s="52" t="str">
        <f>IF(AND('Mapa final'!$AB$18="Muy Alta",'Mapa final'!$AD$18="Menor"),CONCATENATE("R2C",'Mapa final'!$R$18),"")</f>
        <v/>
      </c>
      <c r="R7" s="52" t="str">
        <f>IF(AND('Mapa final'!$AB$19="Muy Alta",'Mapa final'!$AD$19="Menor"),CONCATENATE("R2C",'Mapa final'!$R$19),"")</f>
        <v/>
      </c>
      <c r="S7" s="52" t="str">
        <f>IF(AND('Mapa final'!$AB$20="Muy Alta",'Mapa final'!$AD$20="Menor"),CONCATENATE("R2C",'Mapa final'!$R$20),"")</f>
        <v/>
      </c>
      <c r="T7" s="52" t="str">
        <f>IF(AND('Mapa final'!$AB$21="Muy Alta",'Mapa final'!$AD$21="Menor"),CONCATENATE("R2C",'Mapa final'!$R$21),"")</f>
        <v/>
      </c>
      <c r="U7" s="53" t="str">
        <f>IF(AND('Mapa final'!$AB$22="Muy Alta",'Mapa final'!$AD$22="Menor"),CONCATENATE("R2C",'Mapa final'!$R$22),"")</f>
        <v/>
      </c>
      <c r="V7" s="51" t="str">
        <f ca="1">IF(AND('Mapa final'!$AB$17="Muy Alta",'Mapa final'!$AD$17="Moderado"),CONCATENATE("R2C",'Mapa final'!$R$17),"")</f>
        <v/>
      </c>
      <c r="W7" s="52" t="str">
        <f>IF(AND('Mapa final'!$AB$18="Muy Alta",'Mapa final'!$AD$18="Moderado"),CONCATENATE("R2C",'Mapa final'!$R$18),"")</f>
        <v/>
      </c>
      <c r="X7" s="52" t="str">
        <f>IF(AND('Mapa final'!$AB$19="Muy Alta",'Mapa final'!$AD$19="Moderado"),CONCATENATE("R2C",'Mapa final'!$R$19),"")</f>
        <v/>
      </c>
      <c r="Y7" s="52" t="str">
        <f>IF(AND('Mapa final'!$AB$20="Muy Alta",'Mapa final'!$AD$20="Moderado"),CONCATENATE("R2C",'Mapa final'!$R$20),"")</f>
        <v/>
      </c>
      <c r="Z7" s="52" t="str">
        <f>IF(AND('Mapa final'!$AB$21="Muy Alta",'Mapa final'!$AD$21="Moderado"),CONCATENATE("R2C",'Mapa final'!$R$21),"")</f>
        <v/>
      </c>
      <c r="AA7" s="53" t="str">
        <f>IF(AND('Mapa final'!$AB$22="Muy Alta",'Mapa final'!$AD$22="Moderado"),CONCATENATE("R2C",'Mapa final'!$R$22),"")</f>
        <v/>
      </c>
      <c r="AB7" s="51" t="str">
        <f ca="1">IF(AND('Mapa final'!$AB$17="Muy Alta",'Mapa final'!$AD$17="Mayor"),CONCATENATE("R2C",'Mapa final'!$R$17),"")</f>
        <v/>
      </c>
      <c r="AC7" s="52" t="str">
        <f>IF(AND('Mapa final'!$AB$18="Muy Alta",'Mapa final'!$AD$18="Mayor"),CONCATENATE("R2C",'Mapa final'!$R$18),"")</f>
        <v/>
      </c>
      <c r="AD7" s="52" t="str">
        <f>IF(AND('Mapa final'!$AB$19="Muy Alta",'Mapa final'!$AD$19="Mayor"),CONCATENATE("R2C",'Mapa final'!$R$19),"")</f>
        <v/>
      </c>
      <c r="AE7" s="52" t="str">
        <f>IF(AND('Mapa final'!$AB$20="Muy Alta",'Mapa final'!$AD$20="Mayor"),CONCATENATE("R2C",'Mapa final'!$R$20),"")</f>
        <v/>
      </c>
      <c r="AF7" s="52" t="str">
        <f>IF(AND('Mapa final'!$AB$21="Muy Alta",'Mapa final'!$AD$21="Mayor"),CONCATENATE("R2C",'Mapa final'!$R$21),"")</f>
        <v/>
      </c>
      <c r="AG7" s="53" t="str">
        <f>IF(AND('Mapa final'!$AB$22="Muy Alta",'Mapa final'!$AD$22="Mayor"),CONCATENATE("R2C",'Mapa final'!$R$22),"")</f>
        <v/>
      </c>
      <c r="AH7" s="54" t="str">
        <f ca="1">IF(AND('Mapa final'!$AB$17="Muy Alta",'Mapa final'!$AD$17="Catastrófico"),CONCATENATE("R2C",'Mapa final'!$R$17),"")</f>
        <v/>
      </c>
      <c r="AI7" s="55" t="str">
        <f>IF(AND('Mapa final'!$AB$18="Muy Alta",'Mapa final'!$AD$18="Catastrófico"),CONCATENATE("R2C",'Mapa final'!$R$18),"")</f>
        <v/>
      </c>
      <c r="AJ7" s="55" t="str">
        <f>IF(AND('Mapa final'!$AB$19="Muy Alta",'Mapa final'!$AD$19="Catastrófico"),CONCATENATE("R2C",'Mapa final'!$R$19),"")</f>
        <v/>
      </c>
      <c r="AK7" s="55" t="str">
        <f>IF(AND('Mapa final'!$AB$20="Muy Alta",'Mapa final'!$AD$20="Catastrófico"),CONCATENATE("R2C",'Mapa final'!$R$20),"")</f>
        <v/>
      </c>
      <c r="AL7" s="55" t="str">
        <f>IF(AND('Mapa final'!$AB$21="Muy Alta",'Mapa final'!$AD$21="Catastrófico"),CONCATENATE("R2C",'Mapa final'!$R$21),"")</f>
        <v/>
      </c>
      <c r="AM7" s="56" t="str">
        <f>IF(AND('Mapa final'!$AB$22="Muy Alta",'Mapa final'!$AD$22="Catastrófico"),CONCATENATE("R2C",'Mapa final'!$R$22),"")</f>
        <v/>
      </c>
      <c r="AN7" s="82"/>
      <c r="AO7" s="371"/>
      <c r="AP7" s="372"/>
      <c r="AQ7" s="372"/>
      <c r="AR7" s="372"/>
      <c r="AS7" s="372"/>
      <c r="AT7" s="373"/>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266"/>
      <c r="C8" s="266"/>
      <c r="D8" s="267"/>
      <c r="E8" s="365"/>
      <c r="F8" s="364"/>
      <c r="G8" s="364"/>
      <c r="H8" s="364"/>
      <c r="I8" s="380"/>
      <c r="J8" s="51" t="str">
        <f ca="1">IF(AND('Mapa final'!$AB$23="Muy Alta",'Mapa final'!$AD$23="Leve"),CONCATENATE("R3C",'Mapa final'!$R$23),"")</f>
        <v/>
      </c>
      <c r="K8" s="52" t="str">
        <f>IF(AND('Mapa final'!$AB$24="Muy Alta",'Mapa final'!$AD$24="Leve"),CONCATENATE("R3C",'Mapa final'!$R$24),"")</f>
        <v/>
      </c>
      <c r="L8" s="52" t="str">
        <f>IF(AND('Mapa final'!$AB$25="Muy Alta",'Mapa final'!$AD$25="Leve"),CONCATENATE("R3C",'Mapa final'!$R$25),"")</f>
        <v/>
      </c>
      <c r="M8" s="52" t="str">
        <f>IF(AND('Mapa final'!$AB$26="Muy Alta",'Mapa final'!$AD$26="Leve"),CONCATENATE("R3C",'Mapa final'!$R$26),"")</f>
        <v/>
      </c>
      <c r="N8" s="52" t="str">
        <f>IF(AND('Mapa final'!$AB$27="Muy Alta",'Mapa final'!$AD$27="Leve"),CONCATENATE("R3C",'Mapa final'!$R$27),"")</f>
        <v/>
      </c>
      <c r="O8" s="53" t="str">
        <f>IF(AND('Mapa final'!$AB$28="Muy Alta",'Mapa final'!$AD$28="Leve"),CONCATENATE("R3C",'Mapa final'!$R$28),"")</f>
        <v/>
      </c>
      <c r="P8" s="51" t="str">
        <f ca="1">IF(AND('Mapa final'!$AB$23="Muy Alta",'Mapa final'!$AD$23="Menor"),CONCATENATE("R3C",'Mapa final'!$R$23),"")</f>
        <v/>
      </c>
      <c r="Q8" s="52" t="str">
        <f>IF(AND('Mapa final'!$AB$24="Muy Alta",'Mapa final'!$AD$24="Menor"),CONCATENATE("R3C",'Mapa final'!$R$24),"")</f>
        <v/>
      </c>
      <c r="R8" s="52" t="str">
        <f>IF(AND('Mapa final'!$AB$25="Muy Alta",'Mapa final'!$AD$25="Menor"),CONCATENATE("R3C",'Mapa final'!$R$25),"")</f>
        <v/>
      </c>
      <c r="S8" s="52" t="str">
        <f>IF(AND('Mapa final'!$AB$26="Muy Alta",'Mapa final'!$AD$26="Menor"),CONCATENATE("R3C",'Mapa final'!$R$26),"")</f>
        <v/>
      </c>
      <c r="T8" s="52" t="str">
        <f>IF(AND('Mapa final'!$AB$27="Muy Alta",'Mapa final'!$AD$27="Menor"),CONCATENATE("R3C",'Mapa final'!$R$27),"")</f>
        <v/>
      </c>
      <c r="U8" s="53" t="str">
        <f>IF(AND('Mapa final'!$AB$28="Muy Alta",'Mapa final'!$AD$28="Menor"),CONCATENATE("R3C",'Mapa final'!$R$28),"")</f>
        <v/>
      </c>
      <c r="V8" s="51" t="str">
        <f ca="1">IF(AND('Mapa final'!$AB$23="Muy Alta",'Mapa final'!$AD$23="Moderado"),CONCATENATE("R3C",'Mapa final'!$R$23),"")</f>
        <v/>
      </c>
      <c r="W8" s="52" t="str">
        <f>IF(AND('Mapa final'!$AB$24="Muy Alta",'Mapa final'!$AD$24="Moderado"),CONCATENATE("R3C",'Mapa final'!$R$24),"")</f>
        <v/>
      </c>
      <c r="X8" s="52" t="str">
        <f>IF(AND('Mapa final'!$AB$25="Muy Alta",'Mapa final'!$AD$25="Moderado"),CONCATENATE("R3C",'Mapa final'!$R$25),"")</f>
        <v/>
      </c>
      <c r="Y8" s="52" t="str">
        <f>IF(AND('Mapa final'!$AB$26="Muy Alta",'Mapa final'!$AD$26="Moderado"),CONCATENATE("R3C",'Mapa final'!$R$26),"")</f>
        <v/>
      </c>
      <c r="Z8" s="52" t="str">
        <f>IF(AND('Mapa final'!$AB$27="Muy Alta",'Mapa final'!$AD$27="Moderado"),CONCATENATE("R3C",'Mapa final'!$R$27),"")</f>
        <v/>
      </c>
      <c r="AA8" s="53" t="str">
        <f>IF(AND('Mapa final'!$AB$28="Muy Alta",'Mapa final'!$AD$28="Moderado"),CONCATENATE("R3C",'Mapa final'!$R$28),"")</f>
        <v/>
      </c>
      <c r="AB8" s="51" t="str">
        <f ca="1">IF(AND('Mapa final'!$AB$23="Muy Alta",'Mapa final'!$AD$23="Mayor"),CONCATENATE("R3C",'Mapa final'!$R$23),"")</f>
        <v/>
      </c>
      <c r="AC8" s="52" t="str">
        <f>IF(AND('Mapa final'!$AB$24="Muy Alta",'Mapa final'!$AD$24="Mayor"),CONCATENATE("R3C",'Mapa final'!$R$24),"")</f>
        <v/>
      </c>
      <c r="AD8" s="52" t="str">
        <f>IF(AND('Mapa final'!$AB$25="Muy Alta",'Mapa final'!$AD$25="Mayor"),CONCATENATE("R3C",'Mapa final'!$R$25),"")</f>
        <v/>
      </c>
      <c r="AE8" s="52" t="str">
        <f>IF(AND('Mapa final'!$AB$26="Muy Alta",'Mapa final'!$AD$26="Mayor"),CONCATENATE("R3C",'Mapa final'!$R$26),"")</f>
        <v/>
      </c>
      <c r="AF8" s="52" t="str">
        <f>IF(AND('Mapa final'!$AB$27="Muy Alta",'Mapa final'!$AD$27="Mayor"),CONCATENATE("R3C",'Mapa final'!$R$27),"")</f>
        <v/>
      </c>
      <c r="AG8" s="53" t="str">
        <f>IF(AND('Mapa final'!$AB$28="Muy Alta",'Mapa final'!$AD$28="Mayor"),CONCATENATE("R3C",'Mapa final'!$R$28),"")</f>
        <v/>
      </c>
      <c r="AH8" s="54" t="str">
        <f ca="1">IF(AND('Mapa final'!$AB$23="Muy Alta",'Mapa final'!$AD$23="Catastrófico"),CONCATENATE("R3C",'Mapa final'!$R$23),"")</f>
        <v/>
      </c>
      <c r="AI8" s="55" t="str">
        <f>IF(AND('Mapa final'!$AB$24="Muy Alta",'Mapa final'!$AD$24="Catastrófico"),CONCATENATE("R3C",'Mapa final'!$R$24),"")</f>
        <v/>
      </c>
      <c r="AJ8" s="55" t="str">
        <f>IF(AND('Mapa final'!$AB$25="Muy Alta",'Mapa final'!$AD$25="Catastrófico"),CONCATENATE("R3C",'Mapa final'!$R$25),"")</f>
        <v/>
      </c>
      <c r="AK8" s="55" t="str">
        <f>IF(AND('Mapa final'!$AB$26="Muy Alta",'Mapa final'!$AD$26="Catastrófico"),CONCATENATE("R3C",'Mapa final'!$R$26),"")</f>
        <v/>
      </c>
      <c r="AL8" s="55" t="str">
        <f>IF(AND('Mapa final'!$AB$27="Muy Alta",'Mapa final'!$AD$27="Catastrófico"),CONCATENATE("R3C",'Mapa final'!$R$27),"")</f>
        <v/>
      </c>
      <c r="AM8" s="56" t="str">
        <f>IF(AND('Mapa final'!$AB$28="Muy Alta",'Mapa final'!$AD$28="Catastrófico"),CONCATENATE("R3C",'Mapa final'!$R$28),"")</f>
        <v/>
      </c>
      <c r="AN8" s="82"/>
      <c r="AO8" s="371"/>
      <c r="AP8" s="372"/>
      <c r="AQ8" s="372"/>
      <c r="AR8" s="372"/>
      <c r="AS8" s="372"/>
      <c r="AT8" s="373"/>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266"/>
      <c r="C9" s="266"/>
      <c r="D9" s="267"/>
      <c r="E9" s="365"/>
      <c r="F9" s="364"/>
      <c r="G9" s="364"/>
      <c r="H9" s="364"/>
      <c r="I9" s="380"/>
      <c r="J9" s="51" t="str">
        <f ca="1">IF(AND('Mapa final'!$AB$29="Muy Alta",'Mapa final'!$AD$29="Leve"),CONCATENATE("R4C",'Mapa final'!$R$29),"")</f>
        <v/>
      </c>
      <c r="K9" s="52" t="str">
        <f>IF(AND('Mapa final'!$AB$30="Muy Alta",'Mapa final'!$AD$30="Leve"),CONCATENATE("R4C",'Mapa final'!$R$30),"")</f>
        <v/>
      </c>
      <c r="L9" s="52" t="str">
        <f>IF(AND('Mapa final'!$AB$31="Muy Alta",'Mapa final'!$AD$31="Leve"),CONCATENATE("R4C",'Mapa final'!$R$31),"")</f>
        <v/>
      </c>
      <c r="M9" s="52" t="str">
        <f>IF(AND('Mapa final'!$AB$32="Muy Alta",'Mapa final'!$AD$32="Leve"),CONCATENATE("R4C",'Mapa final'!$R$32),"")</f>
        <v/>
      </c>
      <c r="N9" s="52" t="str">
        <f>IF(AND('Mapa final'!$AB$33="Muy Alta",'Mapa final'!$AD$33="Leve"),CONCATENATE("R4C",'Mapa final'!$R$33),"")</f>
        <v/>
      </c>
      <c r="O9" s="53" t="str">
        <f>IF(AND('Mapa final'!$AB$34="Muy Alta",'Mapa final'!$AD$34="Leve"),CONCATENATE("R4C",'Mapa final'!$R$34),"")</f>
        <v/>
      </c>
      <c r="P9" s="51" t="str">
        <f ca="1">IF(AND('Mapa final'!$AB$29="Muy Alta",'Mapa final'!$AD$29="Menor"),CONCATENATE("R4C",'Mapa final'!$R$29),"")</f>
        <v/>
      </c>
      <c r="Q9" s="52" t="str">
        <f>IF(AND('Mapa final'!$AB$30="Muy Alta",'Mapa final'!$AD$30="Menor"),CONCATENATE("R4C",'Mapa final'!$R$30),"")</f>
        <v/>
      </c>
      <c r="R9" s="52" t="str">
        <f>IF(AND('Mapa final'!$AB$31="Muy Alta",'Mapa final'!$AD$31="Menor"),CONCATENATE("R4C",'Mapa final'!$R$31),"")</f>
        <v/>
      </c>
      <c r="S9" s="52" t="str">
        <f>IF(AND('Mapa final'!$AB$32="Muy Alta",'Mapa final'!$AD$32="Menor"),CONCATENATE("R4C",'Mapa final'!$R$32),"")</f>
        <v/>
      </c>
      <c r="T9" s="52" t="str">
        <f>IF(AND('Mapa final'!$AB$33="Muy Alta",'Mapa final'!$AD$33="Menor"),CONCATENATE("R4C",'Mapa final'!$R$33),"")</f>
        <v/>
      </c>
      <c r="U9" s="53" t="str">
        <f>IF(AND('Mapa final'!$AB$34="Muy Alta",'Mapa final'!$AD$34="Menor"),CONCATENATE("R4C",'Mapa final'!$R$34),"")</f>
        <v/>
      </c>
      <c r="V9" s="51" t="str">
        <f ca="1">IF(AND('Mapa final'!$AB$29="Muy Alta",'Mapa final'!$AD$29="Moderado"),CONCATENATE("R4C",'Mapa final'!$R$29),"")</f>
        <v/>
      </c>
      <c r="W9" s="52" t="str">
        <f>IF(AND('Mapa final'!$AB$30="Muy Alta",'Mapa final'!$AD$30="Moderado"),CONCATENATE("R4C",'Mapa final'!$R$30),"")</f>
        <v/>
      </c>
      <c r="X9" s="52" t="str">
        <f>IF(AND('Mapa final'!$AB$31="Muy Alta",'Mapa final'!$AD$31="Moderado"),CONCATENATE("R4C",'Mapa final'!$R$31),"")</f>
        <v/>
      </c>
      <c r="Y9" s="52" t="str">
        <f>IF(AND('Mapa final'!$AB$32="Muy Alta",'Mapa final'!$AD$32="Moderado"),CONCATENATE("R4C",'Mapa final'!$R$32),"")</f>
        <v/>
      </c>
      <c r="Z9" s="52" t="str">
        <f>IF(AND('Mapa final'!$AB$33="Muy Alta",'Mapa final'!$AD$33="Moderado"),CONCATENATE("R4C",'Mapa final'!$R$33),"")</f>
        <v/>
      </c>
      <c r="AA9" s="53" t="str">
        <f>IF(AND('Mapa final'!$AB$34="Muy Alta",'Mapa final'!$AD$34="Moderado"),CONCATENATE("R4C",'Mapa final'!$R$34),"")</f>
        <v/>
      </c>
      <c r="AB9" s="51" t="str">
        <f ca="1">IF(AND('Mapa final'!$AB$29="Muy Alta",'Mapa final'!$AD$29="Mayor"),CONCATENATE("R4C",'Mapa final'!$R$29),"")</f>
        <v/>
      </c>
      <c r="AC9" s="52" t="str">
        <f>IF(AND('Mapa final'!$AB$30="Muy Alta",'Mapa final'!$AD$30="Mayor"),CONCATENATE("R4C",'Mapa final'!$R$30),"")</f>
        <v/>
      </c>
      <c r="AD9" s="52" t="str">
        <f>IF(AND('Mapa final'!$AB$31="Muy Alta",'Mapa final'!$AD$31="Mayor"),CONCATENATE("R4C",'Mapa final'!$R$31),"")</f>
        <v/>
      </c>
      <c r="AE9" s="52" t="str">
        <f>IF(AND('Mapa final'!$AB$32="Muy Alta",'Mapa final'!$AD$32="Mayor"),CONCATENATE("R4C",'Mapa final'!$R$32),"")</f>
        <v/>
      </c>
      <c r="AF9" s="52" t="str">
        <f>IF(AND('Mapa final'!$AB$33="Muy Alta",'Mapa final'!$AD$33="Mayor"),CONCATENATE("R4C",'Mapa final'!$R$33),"")</f>
        <v/>
      </c>
      <c r="AG9" s="53" t="str">
        <f>IF(AND('Mapa final'!$AB$34="Muy Alta",'Mapa final'!$AD$34="Mayor"),CONCATENATE("R4C",'Mapa final'!$R$34),"")</f>
        <v/>
      </c>
      <c r="AH9" s="54" t="str">
        <f ca="1">IF(AND('Mapa final'!$AB$29="Muy Alta",'Mapa final'!$AD$29="Catastrófico"),CONCATENATE("R4C",'Mapa final'!$R$29),"")</f>
        <v/>
      </c>
      <c r="AI9" s="55" t="str">
        <f>IF(AND('Mapa final'!$AB$30="Muy Alta",'Mapa final'!$AD$30="Catastrófico"),CONCATENATE("R4C",'Mapa final'!$R$30),"")</f>
        <v/>
      </c>
      <c r="AJ9" s="55" t="str">
        <f>IF(AND('Mapa final'!$AB$31="Muy Alta",'Mapa final'!$AD$31="Catastrófico"),CONCATENATE("R4C",'Mapa final'!$R$31),"")</f>
        <v/>
      </c>
      <c r="AK9" s="55" t="str">
        <f>IF(AND('Mapa final'!$AB$32="Muy Alta",'Mapa final'!$AD$32="Catastrófico"),CONCATENATE("R4C",'Mapa final'!$R$32),"")</f>
        <v/>
      </c>
      <c r="AL9" s="55" t="str">
        <f>IF(AND('Mapa final'!$AB$33="Muy Alta",'Mapa final'!$AD$33="Catastrófico"),CONCATENATE("R4C",'Mapa final'!$R$33),"")</f>
        <v/>
      </c>
      <c r="AM9" s="56" t="str">
        <f>IF(AND('Mapa final'!$AB$34="Muy Alta",'Mapa final'!$AD$34="Catastrófico"),CONCATENATE("R4C",'Mapa final'!$R$34),"")</f>
        <v/>
      </c>
      <c r="AN9" s="82"/>
      <c r="AO9" s="371"/>
      <c r="AP9" s="372"/>
      <c r="AQ9" s="372"/>
      <c r="AR9" s="372"/>
      <c r="AS9" s="372"/>
      <c r="AT9" s="373"/>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266"/>
      <c r="C10" s="266"/>
      <c r="D10" s="267"/>
      <c r="E10" s="365"/>
      <c r="F10" s="364"/>
      <c r="G10" s="364"/>
      <c r="H10" s="364"/>
      <c r="I10" s="380"/>
      <c r="J10" s="51" t="e">
        <f>IF(AND('Mapa final'!#REF!="Muy Alta",'Mapa final'!#REF!="Leve"),CONCATENATE("R5C",'Mapa final'!#REF!),"")</f>
        <v>#REF!</v>
      </c>
      <c r="K10" s="52" t="e">
        <f>IF(AND('Mapa final'!#REF!="Muy Alta",'Mapa final'!#REF!="Leve"),CONCATENATE("R5C",'Mapa final'!#REF!),"")</f>
        <v>#REF!</v>
      </c>
      <c r="L10" s="52" t="e">
        <f>IF(AND('Mapa final'!#REF!="Muy Alta",'Mapa final'!#REF!="Leve"),CONCATENATE("R5C",'Mapa final'!#REF!),"")</f>
        <v>#REF!</v>
      </c>
      <c r="M10" s="52" t="e">
        <f>IF(AND('Mapa final'!#REF!="Muy Alta",'Mapa final'!#REF!="Leve"),CONCATENATE("R5C",'Mapa final'!#REF!),"")</f>
        <v>#REF!</v>
      </c>
      <c r="N10" s="52" t="e">
        <f>IF(AND('Mapa final'!#REF!="Muy Alta",'Mapa final'!#REF!="Leve"),CONCATENATE("R5C",'Mapa final'!#REF!),"")</f>
        <v>#REF!</v>
      </c>
      <c r="O10" s="53" t="e">
        <f>IF(AND('Mapa final'!#REF!="Muy Alta",'Mapa final'!#REF!="Leve"),CONCATENATE("R5C",'Mapa final'!#REF!),"")</f>
        <v>#REF!</v>
      </c>
      <c r="P10" s="51" t="e">
        <f>IF(AND('Mapa final'!#REF!="Muy Alta",'Mapa final'!#REF!="Menor"),CONCATENATE("R5C",'Mapa final'!#REF!),"")</f>
        <v>#REF!</v>
      </c>
      <c r="Q10" s="52" t="e">
        <f>IF(AND('Mapa final'!#REF!="Muy Alta",'Mapa final'!#REF!="Menor"),CONCATENATE("R5C",'Mapa final'!#REF!),"")</f>
        <v>#REF!</v>
      </c>
      <c r="R10" s="52" t="e">
        <f>IF(AND('Mapa final'!#REF!="Muy Alta",'Mapa final'!#REF!="Menor"),CONCATENATE("R5C",'Mapa final'!#REF!),"")</f>
        <v>#REF!</v>
      </c>
      <c r="S10" s="52" t="e">
        <f>IF(AND('Mapa final'!#REF!="Muy Alta",'Mapa final'!#REF!="Menor"),CONCATENATE("R5C",'Mapa final'!#REF!),"")</f>
        <v>#REF!</v>
      </c>
      <c r="T10" s="52" t="e">
        <f>IF(AND('Mapa final'!#REF!="Muy Alta",'Mapa final'!#REF!="Menor"),CONCATENATE("R5C",'Mapa final'!#REF!),"")</f>
        <v>#REF!</v>
      </c>
      <c r="U10" s="53" t="e">
        <f>IF(AND('Mapa final'!#REF!="Muy Alta",'Mapa final'!#REF!="Menor"),CONCATENATE("R5C",'Mapa final'!#REF!),"")</f>
        <v>#REF!</v>
      </c>
      <c r="V10" s="51" t="e">
        <f>IF(AND('Mapa final'!#REF!="Muy Alta",'Mapa final'!#REF!="Moderado"),CONCATENATE("R5C",'Mapa final'!#REF!),"")</f>
        <v>#REF!</v>
      </c>
      <c r="W10" s="52" t="e">
        <f>IF(AND('Mapa final'!#REF!="Muy Alta",'Mapa final'!#REF!="Moderado"),CONCATENATE("R5C",'Mapa final'!#REF!),"")</f>
        <v>#REF!</v>
      </c>
      <c r="X10" s="52" t="e">
        <f>IF(AND('Mapa final'!#REF!="Muy Alta",'Mapa final'!#REF!="Moderado"),CONCATENATE("R5C",'Mapa final'!#REF!),"")</f>
        <v>#REF!</v>
      </c>
      <c r="Y10" s="52" t="e">
        <f>IF(AND('Mapa final'!#REF!="Muy Alta",'Mapa final'!#REF!="Moderado"),CONCATENATE("R5C",'Mapa final'!#REF!),"")</f>
        <v>#REF!</v>
      </c>
      <c r="Z10" s="52" t="e">
        <f>IF(AND('Mapa final'!#REF!="Muy Alta",'Mapa final'!#REF!="Moderado"),CONCATENATE("R5C",'Mapa final'!#REF!),"")</f>
        <v>#REF!</v>
      </c>
      <c r="AA10" s="53" t="e">
        <f>IF(AND('Mapa final'!#REF!="Muy Alta",'Mapa final'!#REF!="Moderado"),CONCATENATE("R5C",'Mapa final'!#REF!),"")</f>
        <v>#REF!</v>
      </c>
      <c r="AB10" s="51" t="e">
        <f>IF(AND('Mapa final'!#REF!="Muy Alta",'Mapa final'!#REF!="Mayor"),CONCATENATE("R5C",'Mapa final'!#REF!),"")</f>
        <v>#REF!</v>
      </c>
      <c r="AC10" s="52" t="e">
        <f>IF(AND('Mapa final'!#REF!="Muy Alta",'Mapa final'!#REF!="Mayor"),CONCATENATE("R5C",'Mapa final'!#REF!),"")</f>
        <v>#REF!</v>
      </c>
      <c r="AD10" s="52" t="e">
        <f>IF(AND('Mapa final'!#REF!="Muy Alta",'Mapa final'!#REF!="Mayor"),CONCATENATE("R5C",'Mapa final'!#REF!),"")</f>
        <v>#REF!</v>
      </c>
      <c r="AE10" s="52" t="e">
        <f>IF(AND('Mapa final'!#REF!="Muy Alta",'Mapa final'!#REF!="Mayor"),CONCATENATE("R5C",'Mapa final'!#REF!),"")</f>
        <v>#REF!</v>
      </c>
      <c r="AF10" s="52" t="e">
        <f>IF(AND('Mapa final'!#REF!="Muy Alta",'Mapa final'!#REF!="Mayor"),CONCATENATE("R5C",'Mapa final'!#REF!),"")</f>
        <v>#REF!</v>
      </c>
      <c r="AG10" s="53" t="e">
        <f>IF(AND('Mapa final'!#REF!="Muy Alta",'Mapa final'!#REF!="Mayor"),CONCATENATE("R5C",'Mapa final'!#REF!),"")</f>
        <v>#REF!</v>
      </c>
      <c r="AH10" s="54" t="e">
        <f>IF(AND('Mapa final'!#REF!="Muy Alta",'Mapa final'!#REF!="Catastrófico"),CONCATENATE("R5C",'Mapa final'!#REF!),"")</f>
        <v>#REF!</v>
      </c>
      <c r="AI10" s="55" t="e">
        <f>IF(AND('Mapa final'!#REF!="Muy Alta",'Mapa final'!#REF!="Catastrófico"),CONCATENATE("R5C",'Mapa final'!#REF!),"")</f>
        <v>#REF!</v>
      </c>
      <c r="AJ10" s="55" t="e">
        <f>IF(AND('Mapa final'!#REF!="Muy Alta",'Mapa final'!#REF!="Catastrófico"),CONCATENATE("R5C",'Mapa final'!#REF!),"")</f>
        <v>#REF!</v>
      </c>
      <c r="AK10" s="55" t="e">
        <f>IF(AND('Mapa final'!#REF!="Muy Alta",'Mapa final'!#REF!="Catastrófico"),CONCATENATE("R5C",'Mapa final'!#REF!),"")</f>
        <v>#REF!</v>
      </c>
      <c r="AL10" s="55" t="e">
        <f>IF(AND('Mapa final'!#REF!="Muy Alta",'Mapa final'!#REF!="Catastrófico"),CONCATENATE("R5C",'Mapa final'!#REF!),"")</f>
        <v>#REF!</v>
      </c>
      <c r="AM10" s="56" t="e">
        <f>IF(AND('Mapa final'!#REF!="Muy Alta",'Mapa final'!#REF!="Catastrófico"),CONCATENATE("R5C",'Mapa final'!#REF!),"")</f>
        <v>#REF!</v>
      </c>
      <c r="AN10" s="82"/>
      <c r="AO10" s="371"/>
      <c r="AP10" s="372"/>
      <c r="AQ10" s="372"/>
      <c r="AR10" s="372"/>
      <c r="AS10" s="372"/>
      <c r="AT10" s="373"/>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266"/>
      <c r="C11" s="266"/>
      <c r="D11" s="267"/>
      <c r="E11" s="365"/>
      <c r="F11" s="364"/>
      <c r="G11" s="364"/>
      <c r="H11" s="364"/>
      <c r="I11" s="380"/>
      <c r="J11" s="51" t="str">
        <f ca="1">IF(AND('Mapa final'!$AB$35="Muy Alta",'Mapa final'!$AD$35="Leve"),CONCATENATE("R6C",'Mapa final'!$R$35),"")</f>
        <v/>
      </c>
      <c r="K11" s="52" t="str">
        <f>IF(AND('Mapa final'!$AB$36="Muy Alta",'Mapa final'!$AD$36="Leve"),CONCATENATE("R6C",'Mapa final'!$R$36),"")</f>
        <v/>
      </c>
      <c r="L11" s="52" t="str">
        <f>IF(AND('Mapa final'!$AB$37="Muy Alta",'Mapa final'!$AD$37="Leve"),CONCATENATE("R6C",'Mapa final'!$R$37),"")</f>
        <v/>
      </c>
      <c r="M11" s="52" t="str">
        <f>IF(AND('Mapa final'!$AB$38="Muy Alta",'Mapa final'!$AD$38="Leve"),CONCATENATE("R6C",'Mapa final'!$R$38),"")</f>
        <v/>
      </c>
      <c r="N11" s="52" t="str">
        <f>IF(AND('Mapa final'!$AB$39="Muy Alta",'Mapa final'!$AD$39="Leve"),CONCATENATE("R6C",'Mapa final'!$R$39),"")</f>
        <v/>
      </c>
      <c r="O11" s="53" t="str">
        <f>IF(AND('Mapa final'!$AB$40="Muy Alta",'Mapa final'!$AD$40="Leve"),CONCATENATE("R6C",'Mapa final'!$R$40),"")</f>
        <v/>
      </c>
      <c r="P11" s="51" t="str">
        <f ca="1">IF(AND('Mapa final'!$AB$35="Muy Alta",'Mapa final'!$AD$35="Menor"),CONCATENATE("R6C",'Mapa final'!$R$35),"")</f>
        <v/>
      </c>
      <c r="Q11" s="52" t="str">
        <f>IF(AND('Mapa final'!$AB$36="Muy Alta",'Mapa final'!$AD$36="Menor"),CONCATENATE("R6C",'Mapa final'!$R$36),"")</f>
        <v/>
      </c>
      <c r="R11" s="52" t="str">
        <f>IF(AND('Mapa final'!$AB$37="Muy Alta",'Mapa final'!$AD$37="Menor"),CONCATENATE("R6C",'Mapa final'!$R$37),"")</f>
        <v/>
      </c>
      <c r="S11" s="52" t="str">
        <f>IF(AND('Mapa final'!$AB$38="Muy Alta",'Mapa final'!$AD$38="Menor"),CONCATENATE("R6C",'Mapa final'!$R$38),"")</f>
        <v/>
      </c>
      <c r="T11" s="52" t="str">
        <f>IF(AND('Mapa final'!$AB$39="Muy Alta",'Mapa final'!$AD$39="Menor"),CONCATENATE("R6C",'Mapa final'!$R$39),"")</f>
        <v/>
      </c>
      <c r="U11" s="53" t="str">
        <f>IF(AND('Mapa final'!$AB$40="Muy Alta",'Mapa final'!$AD$40="Menor"),CONCATENATE("R6C",'Mapa final'!$R$40),"")</f>
        <v/>
      </c>
      <c r="V11" s="51" t="str">
        <f ca="1">IF(AND('Mapa final'!$AB$35="Muy Alta",'Mapa final'!$AD$35="Moderado"),CONCATENATE("R6C",'Mapa final'!$R$35),"")</f>
        <v/>
      </c>
      <c r="W11" s="52" t="str">
        <f>IF(AND('Mapa final'!$AB$36="Muy Alta",'Mapa final'!$AD$36="Moderado"),CONCATENATE("R6C",'Mapa final'!$R$36),"")</f>
        <v/>
      </c>
      <c r="X11" s="52" t="str">
        <f>IF(AND('Mapa final'!$AB$37="Muy Alta",'Mapa final'!$AD$37="Moderado"),CONCATENATE("R6C",'Mapa final'!$R$37),"")</f>
        <v/>
      </c>
      <c r="Y11" s="52" t="str">
        <f>IF(AND('Mapa final'!$AB$38="Muy Alta",'Mapa final'!$AD$38="Moderado"),CONCATENATE("R6C",'Mapa final'!$R$38),"")</f>
        <v/>
      </c>
      <c r="Z11" s="52" t="str">
        <f>IF(AND('Mapa final'!$AB$39="Muy Alta",'Mapa final'!$AD$39="Moderado"),CONCATENATE("R6C",'Mapa final'!$R$39),"")</f>
        <v/>
      </c>
      <c r="AA11" s="53" t="str">
        <f>IF(AND('Mapa final'!$AB$40="Muy Alta",'Mapa final'!$AD$40="Moderado"),CONCATENATE("R6C",'Mapa final'!$R$40),"")</f>
        <v/>
      </c>
      <c r="AB11" s="51" t="str">
        <f ca="1">IF(AND('Mapa final'!$AB$35="Muy Alta",'Mapa final'!$AD$35="Mayor"),CONCATENATE("R6C",'Mapa final'!$R$35),"")</f>
        <v/>
      </c>
      <c r="AC11" s="52" t="str">
        <f>IF(AND('Mapa final'!$AB$36="Muy Alta",'Mapa final'!$AD$36="Mayor"),CONCATENATE("R6C",'Mapa final'!$R$36),"")</f>
        <v/>
      </c>
      <c r="AD11" s="52" t="str">
        <f>IF(AND('Mapa final'!$AB$37="Muy Alta",'Mapa final'!$AD$37="Mayor"),CONCATENATE("R6C",'Mapa final'!$R$37),"")</f>
        <v/>
      </c>
      <c r="AE11" s="52" t="str">
        <f>IF(AND('Mapa final'!$AB$38="Muy Alta",'Mapa final'!$AD$38="Mayor"),CONCATENATE("R6C",'Mapa final'!$R$38),"")</f>
        <v/>
      </c>
      <c r="AF11" s="52" t="str">
        <f>IF(AND('Mapa final'!$AB$39="Muy Alta",'Mapa final'!$AD$39="Mayor"),CONCATENATE("R6C",'Mapa final'!$R$39),"")</f>
        <v/>
      </c>
      <c r="AG11" s="53" t="str">
        <f>IF(AND('Mapa final'!$AB$40="Muy Alta",'Mapa final'!$AD$40="Mayor"),CONCATENATE("R6C",'Mapa final'!$R$40),"")</f>
        <v/>
      </c>
      <c r="AH11" s="54" t="str">
        <f ca="1">IF(AND('Mapa final'!$AB$35="Muy Alta",'Mapa final'!$AD$35="Catastrófico"),CONCATENATE("R6C",'Mapa final'!$R$35),"")</f>
        <v/>
      </c>
      <c r="AI11" s="55" t="str">
        <f>IF(AND('Mapa final'!$AB$36="Muy Alta",'Mapa final'!$AD$36="Catastrófico"),CONCATENATE("R6C",'Mapa final'!$R$36),"")</f>
        <v/>
      </c>
      <c r="AJ11" s="55" t="str">
        <f>IF(AND('Mapa final'!$AB$37="Muy Alta",'Mapa final'!$AD$37="Catastrófico"),CONCATENATE("R6C",'Mapa final'!$R$37),"")</f>
        <v/>
      </c>
      <c r="AK11" s="55" t="str">
        <f>IF(AND('Mapa final'!$AB$38="Muy Alta",'Mapa final'!$AD$38="Catastrófico"),CONCATENATE("R6C",'Mapa final'!$R$38),"")</f>
        <v/>
      </c>
      <c r="AL11" s="55" t="str">
        <f>IF(AND('Mapa final'!$AB$39="Muy Alta",'Mapa final'!$AD$39="Catastrófico"),CONCATENATE("R6C",'Mapa final'!$R$39),"")</f>
        <v/>
      </c>
      <c r="AM11" s="56" t="str">
        <f>IF(AND('Mapa final'!$AB$40="Muy Alta",'Mapa final'!$AD$40="Catastrófico"),CONCATENATE("R6C",'Mapa final'!$R$40),"")</f>
        <v/>
      </c>
      <c r="AN11" s="82"/>
      <c r="AO11" s="371"/>
      <c r="AP11" s="372"/>
      <c r="AQ11" s="372"/>
      <c r="AR11" s="372"/>
      <c r="AS11" s="372"/>
      <c r="AT11" s="373"/>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266"/>
      <c r="C12" s="266"/>
      <c r="D12" s="267"/>
      <c r="E12" s="365"/>
      <c r="F12" s="364"/>
      <c r="G12" s="364"/>
      <c r="H12" s="364"/>
      <c r="I12" s="380"/>
      <c r="J12" s="51" t="str">
        <f>IF(AND('Mapa final'!$AB$41="Muy Alta",'Mapa final'!$AD$41="Leve"),CONCATENATE("R7C",'Mapa final'!$R$41),"")</f>
        <v/>
      </c>
      <c r="K12" s="52" t="str">
        <f>IF(AND('Mapa final'!$AB$42="Muy Alta",'Mapa final'!$AD$42="Leve"),CONCATENATE("R7C",'Mapa final'!$R$42),"")</f>
        <v/>
      </c>
      <c r="L12" s="52" t="str">
        <f>IF(AND('Mapa final'!$AB$43="Muy Alta",'Mapa final'!$AD$43="Leve"),CONCATENATE("R7C",'Mapa final'!$R$43),"")</f>
        <v/>
      </c>
      <c r="M12" s="52" t="str">
        <f>IF(AND('Mapa final'!$AB$44="Muy Alta",'Mapa final'!$AD$44="Leve"),CONCATENATE("R7C",'Mapa final'!$R$44),"")</f>
        <v/>
      </c>
      <c r="N12" s="52" t="str">
        <f>IF(AND('Mapa final'!$AB$45="Muy Alta",'Mapa final'!$AD$45="Leve"),CONCATENATE("R7C",'Mapa final'!$R$45),"")</f>
        <v/>
      </c>
      <c r="O12" s="53" t="str">
        <f>IF(AND('Mapa final'!$AB$46="Muy Alta",'Mapa final'!$AD$46="Leve"),CONCATENATE("R7C",'Mapa final'!$R$46),"")</f>
        <v/>
      </c>
      <c r="P12" s="51" t="str">
        <f>IF(AND('Mapa final'!$AB$41="Muy Alta",'Mapa final'!$AD$41="Menor"),CONCATENATE("R7C",'Mapa final'!$R$41),"")</f>
        <v/>
      </c>
      <c r="Q12" s="52" t="str">
        <f>IF(AND('Mapa final'!$AB$42="Muy Alta",'Mapa final'!$AD$42="Menor"),CONCATENATE("R7C",'Mapa final'!$R$42),"")</f>
        <v/>
      </c>
      <c r="R12" s="52" t="str">
        <f>IF(AND('Mapa final'!$AB$43="Muy Alta",'Mapa final'!$AD$43="Menor"),CONCATENATE("R7C",'Mapa final'!$R$43),"")</f>
        <v/>
      </c>
      <c r="S12" s="52" t="str">
        <f>IF(AND('Mapa final'!$AB$44="Muy Alta",'Mapa final'!$AD$44="Menor"),CONCATENATE("R7C",'Mapa final'!$R$44),"")</f>
        <v/>
      </c>
      <c r="T12" s="52" t="str">
        <f>IF(AND('Mapa final'!$AB$45="Muy Alta",'Mapa final'!$AD$45="Menor"),CONCATENATE("R7C",'Mapa final'!$R$45),"")</f>
        <v/>
      </c>
      <c r="U12" s="53" t="str">
        <f>IF(AND('Mapa final'!$AB$46="Muy Alta",'Mapa final'!$AD$46="Menor"),CONCATENATE("R7C",'Mapa final'!$R$46),"")</f>
        <v/>
      </c>
      <c r="V12" s="51" t="str">
        <f>IF(AND('Mapa final'!$AB$41="Muy Alta",'Mapa final'!$AD$41="Moderado"),CONCATENATE("R7C",'Mapa final'!$R$41),"")</f>
        <v/>
      </c>
      <c r="W12" s="52" t="str">
        <f>IF(AND('Mapa final'!$AB$42="Muy Alta",'Mapa final'!$AD$42="Moderado"),CONCATENATE("R7C",'Mapa final'!$R$42),"")</f>
        <v/>
      </c>
      <c r="X12" s="52" t="str">
        <f>IF(AND('Mapa final'!$AB$43="Muy Alta",'Mapa final'!$AD$43="Moderado"),CONCATENATE("R7C",'Mapa final'!$R$43),"")</f>
        <v/>
      </c>
      <c r="Y12" s="52" t="str">
        <f>IF(AND('Mapa final'!$AB$44="Muy Alta",'Mapa final'!$AD$44="Moderado"),CONCATENATE("R7C",'Mapa final'!$R$44),"")</f>
        <v/>
      </c>
      <c r="Z12" s="52" t="str">
        <f>IF(AND('Mapa final'!$AB$45="Muy Alta",'Mapa final'!$AD$45="Moderado"),CONCATENATE("R7C",'Mapa final'!$R$45),"")</f>
        <v/>
      </c>
      <c r="AA12" s="53" t="str">
        <f>IF(AND('Mapa final'!$AB$46="Muy Alta",'Mapa final'!$AD$46="Moderado"),CONCATENATE("R7C",'Mapa final'!$R$46),"")</f>
        <v/>
      </c>
      <c r="AB12" s="51" t="str">
        <f>IF(AND('Mapa final'!$AB$41="Muy Alta",'Mapa final'!$AD$41="Mayor"),CONCATENATE("R7C",'Mapa final'!$R$41),"")</f>
        <v/>
      </c>
      <c r="AC12" s="52" t="str">
        <f>IF(AND('Mapa final'!$AB$42="Muy Alta",'Mapa final'!$AD$42="Mayor"),CONCATENATE("R7C",'Mapa final'!$R$42),"")</f>
        <v/>
      </c>
      <c r="AD12" s="52" t="str">
        <f>IF(AND('Mapa final'!$AB$43="Muy Alta",'Mapa final'!$AD$43="Mayor"),CONCATENATE("R7C",'Mapa final'!$R$43),"")</f>
        <v/>
      </c>
      <c r="AE12" s="52" t="str">
        <f>IF(AND('Mapa final'!$AB$44="Muy Alta",'Mapa final'!$AD$44="Mayor"),CONCATENATE("R7C",'Mapa final'!$R$44),"")</f>
        <v/>
      </c>
      <c r="AF12" s="52" t="str">
        <f>IF(AND('Mapa final'!$AB$45="Muy Alta",'Mapa final'!$AD$45="Mayor"),CONCATENATE("R7C",'Mapa final'!$R$45),"")</f>
        <v/>
      </c>
      <c r="AG12" s="53" t="str">
        <f>IF(AND('Mapa final'!$AB$46="Muy Alta",'Mapa final'!$AD$46="Mayor"),CONCATENATE("R7C",'Mapa final'!$R$46),"")</f>
        <v/>
      </c>
      <c r="AH12" s="54" t="str">
        <f>IF(AND('Mapa final'!$AB$41="Muy Alta",'Mapa final'!$AD$41="Catastrófico"),CONCATENATE("R7C",'Mapa final'!$R$41),"")</f>
        <v/>
      </c>
      <c r="AI12" s="55" t="str">
        <f>IF(AND('Mapa final'!$AB$42="Muy Alta",'Mapa final'!$AD$42="Catastrófico"),CONCATENATE("R7C",'Mapa final'!$R$42),"")</f>
        <v/>
      </c>
      <c r="AJ12" s="55" t="str">
        <f>IF(AND('Mapa final'!$AB$43="Muy Alta",'Mapa final'!$AD$43="Catastrófico"),CONCATENATE("R7C",'Mapa final'!$R$43),"")</f>
        <v/>
      </c>
      <c r="AK12" s="55" t="str">
        <f>IF(AND('Mapa final'!$AB$44="Muy Alta",'Mapa final'!$AD$44="Catastrófico"),CONCATENATE("R7C",'Mapa final'!$R$44),"")</f>
        <v/>
      </c>
      <c r="AL12" s="55" t="str">
        <f>IF(AND('Mapa final'!$AB$45="Muy Alta",'Mapa final'!$AD$45="Catastrófico"),CONCATENATE("R7C",'Mapa final'!$R$45),"")</f>
        <v/>
      </c>
      <c r="AM12" s="56" t="str">
        <f>IF(AND('Mapa final'!$AB$46="Muy Alta",'Mapa final'!$AD$46="Catastrófico"),CONCATENATE("R7C",'Mapa final'!$R$46),"")</f>
        <v/>
      </c>
      <c r="AN12" s="82"/>
      <c r="AO12" s="371"/>
      <c r="AP12" s="372"/>
      <c r="AQ12" s="372"/>
      <c r="AR12" s="372"/>
      <c r="AS12" s="372"/>
      <c r="AT12" s="373"/>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266"/>
      <c r="C13" s="266"/>
      <c r="D13" s="267"/>
      <c r="E13" s="365"/>
      <c r="F13" s="364"/>
      <c r="G13" s="364"/>
      <c r="H13" s="364"/>
      <c r="I13" s="380"/>
      <c r="J13" s="51" t="str">
        <f>IF(AND('Mapa final'!$AB$47="Muy Alta",'Mapa final'!$AD$47="Leve"),CONCATENATE("R8C",'Mapa final'!$R$47),"")</f>
        <v/>
      </c>
      <c r="K13" s="52" t="str">
        <f>IF(AND('Mapa final'!$AB$48="Muy Alta",'Mapa final'!$AD$48="Leve"),CONCATENATE("R8C",'Mapa final'!$R$48),"")</f>
        <v/>
      </c>
      <c r="L13" s="52" t="str">
        <f>IF(AND('Mapa final'!$AB$49="Muy Alta",'Mapa final'!$AD$49="Leve"),CONCATENATE("R8C",'Mapa final'!$R$49),"")</f>
        <v/>
      </c>
      <c r="M13" s="52" t="str">
        <f>IF(AND('Mapa final'!$AB$50="Muy Alta",'Mapa final'!$AD$50="Leve"),CONCATENATE("R8C",'Mapa final'!$R$50),"")</f>
        <v/>
      </c>
      <c r="N13" s="52" t="str">
        <f>IF(AND('Mapa final'!$AB$51="Muy Alta",'Mapa final'!$AD$51="Leve"),CONCATENATE("R8C",'Mapa final'!$R$51),"")</f>
        <v/>
      </c>
      <c r="O13" s="53" t="str">
        <f>IF(AND('Mapa final'!$AB$52="Muy Alta",'Mapa final'!$AD$52="Leve"),CONCATENATE("R8C",'Mapa final'!$R$52),"")</f>
        <v/>
      </c>
      <c r="P13" s="51" t="str">
        <f>IF(AND('Mapa final'!$AB$47="Muy Alta",'Mapa final'!$AD$47="Menor"),CONCATENATE("R8C",'Mapa final'!$R$47),"")</f>
        <v/>
      </c>
      <c r="Q13" s="52" t="str">
        <f>IF(AND('Mapa final'!$AB$48="Muy Alta",'Mapa final'!$AD$48="Menor"),CONCATENATE("R8C",'Mapa final'!$R$48),"")</f>
        <v/>
      </c>
      <c r="R13" s="52" t="str">
        <f>IF(AND('Mapa final'!$AB$49="Muy Alta",'Mapa final'!$AD$49="Menor"),CONCATENATE("R8C",'Mapa final'!$R$49),"")</f>
        <v/>
      </c>
      <c r="S13" s="52" t="str">
        <f>IF(AND('Mapa final'!$AB$50="Muy Alta",'Mapa final'!$AD$50="Menor"),CONCATENATE("R8C",'Mapa final'!$R$50),"")</f>
        <v/>
      </c>
      <c r="T13" s="52" t="str">
        <f>IF(AND('Mapa final'!$AB$51="Muy Alta",'Mapa final'!$AD$51="Menor"),CONCATENATE("R8C",'Mapa final'!$R$51),"")</f>
        <v/>
      </c>
      <c r="U13" s="53" t="str">
        <f>IF(AND('Mapa final'!$AB$52="Muy Alta",'Mapa final'!$AD$52="Menor"),CONCATENATE("R8C",'Mapa final'!$R$52),"")</f>
        <v/>
      </c>
      <c r="V13" s="51" t="str">
        <f>IF(AND('Mapa final'!$AB$47="Muy Alta",'Mapa final'!$AD$47="Moderado"),CONCATENATE("R8C",'Mapa final'!$R$47),"")</f>
        <v/>
      </c>
      <c r="W13" s="52" t="str">
        <f>IF(AND('Mapa final'!$AB$48="Muy Alta",'Mapa final'!$AD$48="Moderado"),CONCATENATE("R8C",'Mapa final'!$R$48),"")</f>
        <v/>
      </c>
      <c r="X13" s="52" t="str">
        <f>IF(AND('Mapa final'!$AB$49="Muy Alta",'Mapa final'!$AD$49="Moderado"),CONCATENATE("R8C",'Mapa final'!$R$49),"")</f>
        <v/>
      </c>
      <c r="Y13" s="52" t="str">
        <f>IF(AND('Mapa final'!$AB$50="Muy Alta",'Mapa final'!$AD$50="Moderado"),CONCATENATE("R8C",'Mapa final'!$R$50),"")</f>
        <v/>
      </c>
      <c r="Z13" s="52" t="str">
        <f>IF(AND('Mapa final'!$AB$51="Muy Alta",'Mapa final'!$AD$51="Moderado"),CONCATENATE("R8C",'Mapa final'!$R$51),"")</f>
        <v/>
      </c>
      <c r="AA13" s="53" t="str">
        <f>IF(AND('Mapa final'!$AB$52="Muy Alta",'Mapa final'!$AD$52="Moderado"),CONCATENATE("R8C",'Mapa final'!$R$52),"")</f>
        <v/>
      </c>
      <c r="AB13" s="51" t="str">
        <f>IF(AND('Mapa final'!$AB$47="Muy Alta",'Mapa final'!$AD$47="Mayor"),CONCATENATE("R8C",'Mapa final'!$R$47),"")</f>
        <v/>
      </c>
      <c r="AC13" s="52" t="str">
        <f>IF(AND('Mapa final'!$AB$48="Muy Alta",'Mapa final'!$AD$48="Mayor"),CONCATENATE("R8C",'Mapa final'!$R$48),"")</f>
        <v/>
      </c>
      <c r="AD13" s="52" t="str">
        <f>IF(AND('Mapa final'!$AB$49="Muy Alta",'Mapa final'!$AD$49="Mayor"),CONCATENATE("R8C",'Mapa final'!$R$49),"")</f>
        <v/>
      </c>
      <c r="AE13" s="52" t="str">
        <f>IF(AND('Mapa final'!$AB$50="Muy Alta",'Mapa final'!$AD$50="Mayor"),CONCATENATE("R8C",'Mapa final'!$R$50),"")</f>
        <v/>
      </c>
      <c r="AF13" s="52" t="str">
        <f>IF(AND('Mapa final'!$AB$51="Muy Alta",'Mapa final'!$AD$51="Mayor"),CONCATENATE("R8C",'Mapa final'!$R$51),"")</f>
        <v/>
      </c>
      <c r="AG13" s="53" t="str">
        <f>IF(AND('Mapa final'!$AB$52="Muy Alta",'Mapa final'!$AD$52="Mayor"),CONCATENATE("R8C",'Mapa final'!$R$52),"")</f>
        <v/>
      </c>
      <c r="AH13" s="54" t="str">
        <f>IF(AND('Mapa final'!$AB$47="Muy Alta",'Mapa final'!$AD$47="Catastrófico"),CONCATENATE("R8C",'Mapa final'!$R$47),"")</f>
        <v/>
      </c>
      <c r="AI13" s="55" t="str">
        <f>IF(AND('Mapa final'!$AB$48="Muy Alta",'Mapa final'!$AD$48="Catastrófico"),CONCATENATE("R8C",'Mapa final'!$R$48),"")</f>
        <v/>
      </c>
      <c r="AJ13" s="55" t="str">
        <f>IF(AND('Mapa final'!$AB$49="Muy Alta",'Mapa final'!$AD$49="Catastrófico"),CONCATENATE("R8C",'Mapa final'!$R$49),"")</f>
        <v/>
      </c>
      <c r="AK13" s="55" t="str">
        <f>IF(AND('Mapa final'!$AB$50="Muy Alta",'Mapa final'!$AD$50="Catastrófico"),CONCATENATE("R8C",'Mapa final'!$R$50),"")</f>
        <v/>
      </c>
      <c r="AL13" s="55" t="str">
        <f>IF(AND('Mapa final'!$AB$51="Muy Alta",'Mapa final'!$AD$51="Catastrófico"),CONCATENATE("R8C",'Mapa final'!$R$51),"")</f>
        <v/>
      </c>
      <c r="AM13" s="56" t="str">
        <f>IF(AND('Mapa final'!$AB$52="Muy Alta",'Mapa final'!$AD$52="Catastrófico"),CONCATENATE("R8C",'Mapa final'!$R$52),"")</f>
        <v/>
      </c>
      <c r="AN13" s="82"/>
      <c r="AO13" s="371"/>
      <c r="AP13" s="372"/>
      <c r="AQ13" s="372"/>
      <c r="AR13" s="372"/>
      <c r="AS13" s="372"/>
      <c r="AT13" s="373"/>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266"/>
      <c r="C14" s="266"/>
      <c r="D14" s="267"/>
      <c r="E14" s="365"/>
      <c r="F14" s="364"/>
      <c r="G14" s="364"/>
      <c r="H14" s="364"/>
      <c r="I14" s="380"/>
      <c r="J14" s="51" t="str">
        <f>IF(AND('Mapa final'!$AB$53="Muy Alta",'Mapa final'!$AD$53="Leve"),CONCATENATE("R9C",'Mapa final'!$R$53),"")</f>
        <v/>
      </c>
      <c r="K14" s="52" t="str">
        <f>IF(AND('Mapa final'!$AB$54="Muy Alta",'Mapa final'!$AD$54="Leve"),CONCATENATE("R9C",'Mapa final'!$R$54),"")</f>
        <v/>
      </c>
      <c r="L14" s="52" t="str">
        <f>IF(AND('Mapa final'!$AB$55="Muy Alta",'Mapa final'!$AD$55="Leve"),CONCATENATE("R9C",'Mapa final'!$R$55),"")</f>
        <v/>
      </c>
      <c r="M14" s="52" t="str">
        <f>IF(AND('Mapa final'!$AB$56="Muy Alta",'Mapa final'!$AD$56="Leve"),CONCATENATE("R9C",'Mapa final'!$R$56),"")</f>
        <v/>
      </c>
      <c r="N14" s="52" t="str">
        <f>IF(AND('Mapa final'!$AB$57="Muy Alta",'Mapa final'!$AD$57="Leve"),CONCATENATE("R9C",'Mapa final'!$R$57),"")</f>
        <v/>
      </c>
      <c r="O14" s="53" t="str">
        <f>IF(AND('Mapa final'!$AB$58="Muy Alta",'Mapa final'!$AD$58="Leve"),CONCATENATE("R9C",'Mapa final'!$R$58),"")</f>
        <v/>
      </c>
      <c r="P14" s="51" t="str">
        <f>IF(AND('Mapa final'!$AB$53="Muy Alta",'Mapa final'!$AD$53="Menor"),CONCATENATE("R9C",'Mapa final'!$R$53),"")</f>
        <v/>
      </c>
      <c r="Q14" s="52" t="str">
        <f>IF(AND('Mapa final'!$AB$54="Muy Alta",'Mapa final'!$AD$54="Menor"),CONCATENATE("R9C",'Mapa final'!$R$54),"")</f>
        <v/>
      </c>
      <c r="R14" s="52" t="str">
        <f>IF(AND('Mapa final'!$AB$55="Muy Alta",'Mapa final'!$AD$55="Menor"),CONCATENATE("R9C",'Mapa final'!$R$55),"")</f>
        <v/>
      </c>
      <c r="S14" s="52" t="str">
        <f>IF(AND('Mapa final'!$AB$56="Muy Alta",'Mapa final'!$AD$56="Menor"),CONCATENATE("R9C",'Mapa final'!$R$56),"")</f>
        <v/>
      </c>
      <c r="T14" s="52" t="str">
        <f>IF(AND('Mapa final'!$AB$57="Muy Alta",'Mapa final'!$AD$57="Menor"),CONCATENATE("R9C",'Mapa final'!$R$57),"")</f>
        <v/>
      </c>
      <c r="U14" s="53" t="str">
        <f>IF(AND('Mapa final'!$AB$58="Muy Alta",'Mapa final'!$AD$58="Menor"),CONCATENATE("R9C",'Mapa final'!$R$58),"")</f>
        <v/>
      </c>
      <c r="V14" s="51" t="str">
        <f>IF(AND('Mapa final'!$AB$53="Muy Alta",'Mapa final'!$AD$53="Moderado"),CONCATENATE("R9C",'Mapa final'!$R$53),"")</f>
        <v/>
      </c>
      <c r="W14" s="52" t="str">
        <f>IF(AND('Mapa final'!$AB$54="Muy Alta",'Mapa final'!$AD$54="Moderado"),CONCATENATE("R9C",'Mapa final'!$R$54),"")</f>
        <v/>
      </c>
      <c r="X14" s="52" t="str">
        <f>IF(AND('Mapa final'!$AB$55="Muy Alta",'Mapa final'!$AD$55="Moderado"),CONCATENATE("R9C",'Mapa final'!$R$55),"")</f>
        <v/>
      </c>
      <c r="Y14" s="52" t="str">
        <f>IF(AND('Mapa final'!$AB$56="Muy Alta",'Mapa final'!$AD$56="Moderado"),CONCATENATE("R9C",'Mapa final'!$R$56),"")</f>
        <v/>
      </c>
      <c r="Z14" s="52" t="str">
        <f>IF(AND('Mapa final'!$AB$57="Muy Alta",'Mapa final'!$AD$57="Moderado"),CONCATENATE("R9C",'Mapa final'!$R$57),"")</f>
        <v/>
      </c>
      <c r="AA14" s="53" t="str">
        <f>IF(AND('Mapa final'!$AB$58="Muy Alta",'Mapa final'!$AD$58="Moderado"),CONCATENATE("R9C",'Mapa final'!$R$58),"")</f>
        <v/>
      </c>
      <c r="AB14" s="51" t="str">
        <f>IF(AND('Mapa final'!$AB$53="Muy Alta",'Mapa final'!$AD$53="Mayor"),CONCATENATE("R9C",'Mapa final'!$R$53),"")</f>
        <v/>
      </c>
      <c r="AC14" s="52" t="str">
        <f>IF(AND('Mapa final'!$AB$54="Muy Alta",'Mapa final'!$AD$54="Mayor"),CONCATENATE("R9C",'Mapa final'!$R$54),"")</f>
        <v/>
      </c>
      <c r="AD14" s="52" t="str">
        <f>IF(AND('Mapa final'!$AB$55="Muy Alta",'Mapa final'!$AD$55="Mayor"),CONCATENATE("R9C",'Mapa final'!$R$55),"")</f>
        <v/>
      </c>
      <c r="AE14" s="52" t="str">
        <f>IF(AND('Mapa final'!$AB$56="Muy Alta",'Mapa final'!$AD$56="Mayor"),CONCATENATE("R9C",'Mapa final'!$R$56),"")</f>
        <v/>
      </c>
      <c r="AF14" s="52" t="str">
        <f>IF(AND('Mapa final'!$AB$57="Muy Alta",'Mapa final'!$AD$57="Mayor"),CONCATENATE("R9C",'Mapa final'!$R$57),"")</f>
        <v/>
      </c>
      <c r="AG14" s="53" t="str">
        <f>IF(AND('Mapa final'!$AB$58="Muy Alta",'Mapa final'!$AD$58="Mayor"),CONCATENATE("R9C",'Mapa final'!$R$58),"")</f>
        <v/>
      </c>
      <c r="AH14" s="54" t="str">
        <f>IF(AND('Mapa final'!$AB$53="Muy Alta",'Mapa final'!$AD$53="Catastrófico"),CONCATENATE("R9C",'Mapa final'!$R$53),"")</f>
        <v/>
      </c>
      <c r="AI14" s="55" t="str">
        <f>IF(AND('Mapa final'!$AB$54="Muy Alta",'Mapa final'!$AD$54="Catastrófico"),CONCATENATE("R9C",'Mapa final'!$R$54),"")</f>
        <v/>
      </c>
      <c r="AJ14" s="55" t="str">
        <f>IF(AND('Mapa final'!$AB$55="Muy Alta",'Mapa final'!$AD$55="Catastrófico"),CONCATENATE("R9C",'Mapa final'!$R$55),"")</f>
        <v/>
      </c>
      <c r="AK14" s="55" t="str">
        <f>IF(AND('Mapa final'!$AB$56="Muy Alta",'Mapa final'!$AD$56="Catastrófico"),CONCATENATE("R9C",'Mapa final'!$R$56),"")</f>
        <v/>
      </c>
      <c r="AL14" s="55" t="str">
        <f>IF(AND('Mapa final'!$AB$57="Muy Alta",'Mapa final'!$AD$57="Catastrófico"),CONCATENATE("R9C",'Mapa final'!$R$57),"")</f>
        <v/>
      </c>
      <c r="AM14" s="56" t="str">
        <f>IF(AND('Mapa final'!$AB$58="Muy Alta",'Mapa final'!$AD$58="Catastrófico"),CONCATENATE("R9C",'Mapa final'!$R$58),"")</f>
        <v/>
      </c>
      <c r="AN14" s="82"/>
      <c r="AO14" s="371"/>
      <c r="AP14" s="372"/>
      <c r="AQ14" s="372"/>
      <c r="AR14" s="372"/>
      <c r="AS14" s="372"/>
      <c r="AT14" s="373"/>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266"/>
      <c r="C15" s="266"/>
      <c r="D15" s="267"/>
      <c r="E15" s="366"/>
      <c r="F15" s="367"/>
      <c r="G15" s="367"/>
      <c r="H15" s="367"/>
      <c r="I15" s="381"/>
      <c r="J15" s="57" t="str">
        <f>IF(AND('Mapa final'!$AB$59="Muy Alta",'Mapa final'!$AD$59="Leve"),CONCATENATE("R10C",'Mapa final'!$R$59),"")</f>
        <v/>
      </c>
      <c r="K15" s="58" t="str">
        <f>IF(AND('Mapa final'!$AB$60="Muy Alta",'Mapa final'!$AD$60="Leve"),CONCATENATE("R10C",'Mapa final'!$R$60),"")</f>
        <v/>
      </c>
      <c r="L15" s="58" t="str">
        <f>IF(AND('Mapa final'!$AB$61="Muy Alta",'Mapa final'!$AD$61="Leve"),CONCATENATE("R10C",'Mapa final'!$R$61),"")</f>
        <v/>
      </c>
      <c r="M15" s="58" t="str">
        <f>IF(AND('Mapa final'!$AB$62="Muy Alta",'Mapa final'!$AD$62="Leve"),CONCATENATE("R10C",'Mapa final'!$R$62),"")</f>
        <v/>
      </c>
      <c r="N15" s="58" t="str">
        <f>IF(AND('Mapa final'!$AB$63="Muy Alta",'Mapa final'!$AD$63="Leve"),CONCATENATE("R10C",'Mapa final'!$R$63),"")</f>
        <v/>
      </c>
      <c r="O15" s="59" t="str">
        <f>IF(AND('Mapa final'!$AB$64="Muy Alta",'Mapa final'!$AD$64="Leve"),CONCATENATE("R10C",'Mapa final'!$R$64),"")</f>
        <v/>
      </c>
      <c r="P15" s="51" t="str">
        <f>IF(AND('Mapa final'!$AB$59="Muy Alta",'Mapa final'!$AD$59="Menor"),CONCATENATE("R10C",'Mapa final'!$R$59),"")</f>
        <v/>
      </c>
      <c r="Q15" s="52" t="str">
        <f>IF(AND('Mapa final'!$AB$60="Muy Alta",'Mapa final'!$AD$60="Menor"),CONCATENATE("R10C",'Mapa final'!$R$60),"")</f>
        <v/>
      </c>
      <c r="R15" s="52" t="str">
        <f>IF(AND('Mapa final'!$AB$61="Muy Alta",'Mapa final'!$AD$61="Menor"),CONCATENATE("R10C",'Mapa final'!$R$61),"")</f>
        <v/>
      </c>
      <c r="S15" s="52" t="str">
        <f>IF(AND('Mapa final'!$AB$62="Muy Alta",'Mapa final'!$AD$62="Menor"),CONCATENATE("R10C",'Mapa final'!$R$62),"")</f>
        <v/>
      </c>
      <c r="T15" s="52" t="str">
        <f>IF(AND('Mapa final'!$AB$63="Muy Alta",'Mapa final'!$AD$63="Menor"),CONCATENATE("R10C",'Mapa final'!$R$63),"")</f>
        <v/>
      </c>
      <c r="U15" s="53" t="str">
        <f>IF(AND('Mapa final'!$AB$64="Muy Alta",'Mapa final'!$AD$64="Menor"),CONCATENATE("R10C",'Mapa final'!$R$64),"")</f>
        <v/>
      </c>
      <c r="V15" s="57" t="str">
        <f>IF(AND('Mapa final'!$AB$59="Muy Alta",'Mapa final'!$AD$59="Moderado"),CONCATENATE("R10C",'Mapa final'!$R$59),"")</f>
        <v/>
      </c>
      <c r="W15" s="58" t="str">
        <f>IF(AND('Mapa final'!$AB$60="Muy Alta",'Mapa final'!$AD$60="Moderado"),CONCATENATE("R10C",'Mapa final'!$R$60),"")</f>
        <v/>
      </c>
      <c r="X15" s="58" t="str">
        <f>IF(AND('Mapa final'!$AB$61="Muy Alta",'Mapa final'!$AD$61="Moderado"),CONCATENATE("R10C",'Mapa final'!$R$61),"")</f>
        <v/>
      </c>
      <c r="Y15" s="58" t="str">
        <f>IF(AND('Mapa final'!$AB$62="Muy Alta",'Mapa final'!$AD$62="Moderado"),CONCATENATE("R10C",'Mapa final'!$R$62),"")</f>
        <v/>
      </c>
      <c r="Z15" s="58" t="str">
        <f>IF(AND('Mapa final'!$AB$63="Muy Alta",'Mapa final'!$AD$63="Moderado"),CONCATENATE("R10C",'Mapa final'!$R$63),"")</f>
        <v/>
      </c>
      <c r="AA15" s="59" t="str">
        <f>IF(AND('Mapa final'!$AB$64="Muy Alta",'Mapa final'!$AD$64="Moderado"),CONCATENATE("R10C",'Mapa final'!$R$64),"")</f>
        <v/>
      </c>
      <c r="AB15" s="51" t="str">
        <f>IF(AND('Mapa final'!$AB$59="Muy Alta",'Mapa final'!$AD$59="Mayor"),CONCATENATE("R10C",'Mapa final'!$R$59),"")</f>
        <v/>
      </c>
      <c r="AC15" s="52" t="str">
        <f>IF(AND('Mapa final'!$AB$60="Muy Alta",'Mapa final'!$AD$60="Mayor"),CONCATENATE("R10C",'Mapa final'!$R$60),"")</f>
        <v/>
      </c>
      <c r="AD15" s="52" t="str">
        <f>IF(AND('Mapa final'!$AB$61="Muy Alta",'Mapa final'!$AD$61="Mayor"),CONCATENATE("R10C",'Mapa final'!$R$61),"")</f>
        <v/>
      </c>
      <c r="AE15" s="52" t="str">
        <f>IF(AND('Mapa final'!$AB$62="Muy Alta",'Mapa final'!$AD$62="Mayor"),CONCATENATE("R10C",'Mapa final'!$R$62),"")</f>
        <v/>
      </c>
      <c r="AF15" s="52" t="str">
        <f>IF(AND('Mapa final'!$AB$63="Muy Alta",'Mapa final'!$AD$63="Mayor"),CONCATENATE("R10C",'Mapa final'!$R$63),"")</f>
        <v/>
      </c>
      <c r="AG15" s="53" t="str">
        <f>IF(AND('Mapa final'!$AB$64="Muy Alta",'Mapa final'!$AD$64="Mayor"),CONCATENATE("R10C",'Mapa final'!$R$64),"")</f>
        <v/>
      </c>
      <c r="AH15" s="60" t="str">
        <f>IF(AND('Mapa final'!$AB$59="Muy Alta",'Mapa final'!$AD$59="Catastrófico"),CONCATENATE("R10C",'Mapa final'!$R$59),"")</f>
        <v/>
      </c>
      <c r="AI15" s="61" t="str">
        <f>IF(AND('Mapa final'!$AB$60="Muy Alta",'Mapa final'!$AD$60="Catastrófico"),CONCATENATE("R10C",'Mapa final'!$R$60),"")</f>
        <v/>
      </c>
      <c r="AJ15" s="61" t="str">
        <f>IF(AND('Mapa final'!$AB$61="Muy Alta",'Mapa final'!$AD$61="Catastrófico"),CONCATENATE("R10C",'Mapa final'!$R$61),"")</f>
        <v/>
      </c>
      <c r="AK15" s="61" t="str">
        <f>IF(AND('Mapa final'!$AB$62="Muy Alta",'Mapa final'!$AD$62="Catastrófico"),CONCATENATE("R10C",'Mapa final'!$R$62),"")</f>
        <v/>
      </c>
      <c r="AL15" s="61" t="str">
        <f>IF(AND('Mapa final'!$AB$63="Muy Alta",'Mapa final'!$AD$63="Catastrófico"),CONCATENATE("R10C",'Mapa final'!$R$63),"")</f>
        <v/>
      </c>
      <c r="AM15" s="62" t="str">
        <f>IF(AND('Mapa final'!$AB$64="Muy Alta",'Mapa final'!$AD$64="Catastrófico"),CONCATENATE("R10C",'Mapa final'!$R$64),"")</f>
        <v/>
      </c>
      <c r="AN15" s="82"/>
      <c r="AO15" s="374"/>
      <c r="AP15" s="375"/>
      <c r="AQ15" s="375"/>
      <c r="AR15" s="375"/>
      <c r="AS15" s="375"/>
      <c r="AT15" s="376"/>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266"/>
      <c r="C16" s="266"/>
      <c r="D16" s="267"/>
      <c r="E16" s="361" t="s">
        <v>107</v>
      </c>
      <c r="F16" s="362"/>
      <c r="G16" s="362"/>
      <c r="H16" s="362"/>
      <c r="I16" s="362"/>
      <c r="J16" s="63" t="str">
        <f ca="1">IF(AND('Mapa final'!$AB$11="Alta",'Mapa final'!$AD$11="Leve"),CONCATENATE("R1C",'Mapa final'!$R$11),"")</f>
        <v/>
      </c>
      <c r="K16" s="64" t="str">
        <f ca="1">IF(AND('Mapa final'!$AB$12="Alta",'Mapa final'!$AD$12="Leve"),CONCATENATE("R1C",'Mapa final'!$R$12),"")</f>
        <v/>
      </c>
      <c r="L16" s="64" t="str">
        <f>IF(AND('Mapa final'!$AB$13="Alta",'Mapa final'!$AD$13="Leve"),CONCATENATE("R1C",'Mapa final'!$R$13),"")</f>
        <v/>
      </c>
      <c r="M16" s="64" t="str">
        <f>IF(AND('Mapa final'!$AB$14="Alta",'Mapa final'!$AD$14="Leve"),CONCATENATE("R1C",'Mapa final'!$R$14),"")</f>
        <v/>
      </c>
      <c r="N16" s="64" t="str">
        <f>IF(AND('Mapa final'!$AB$15="Alta",'Mapa final'!$AD$15="Leve"),CONCATENATE("R1C",'Mapa final'!$R$15),"")</f>
        <v/>
      </c>
      <c r="O16" s="65" t="str">
        <f>IF(AND('Mapa final'!$AB$16="Alta",'Mapa final'!$AD$16="Leve"),CONCATENATE("R1C",'Mapa final'!$R$16),"")</f>
        <v/>
      </c>
      <c r="P16" s="63" t="str">
        <f ca="1">IF(AND('Mapa final'!$AB$11="Alta",'Mapa final'!$AD$11="Menor"),CONCATENATE("R1C",'Mapa final'!$R$11),"")</f>
        <v/>
      </c>
      <c r="Q16" s="64" t="str">
        <f ca="1">IF(AND('Mapa final'!$AB$12="Alta",'Mapa final'!$AD$12="Menor"),CONCATENATE("R1C",'Mapa final'!$R$12),"")</f>
        <v/>
      </c>
      <c r="R16" s="64" t="str">
        <f>IF(AND('Mapa final'!$AB$13="Alta",'Mapa final'!$AD$13="Menor"),CONCATENATE("R1C",'Mapa final'!$R$13),"")</f>
        <v/>
      </c>
      <c r="S16" s="64" t="str">
        <f>IF(AND('Mapa final'!$AB$14="Alta",'Mapa final'!$AD$14="Menor"),CONCATENATE("R1C",'Mapa final'!$R$14),"")</f>
        <v/>
      </c>
      <c r="T16" s="64" t="str">
        <f>IF(AND('Mapa final'!$AB$15="Alta",'Mapa final'!$AD$15="Menor"),CONCATENATE("R1C",'Mapa final'!$R$15),"")</f>
        <v/>
      </c>
      <c r="U16" s="65" t="str">
        <f>IF(AND('Mapa final'!$AB$16="Alta",'Mapa final'!$AD$16="Menor"),CONCATENATE("R1C",'Mapa final'!$R$16),"")</f>
        <v/>
      </c>
      <c r="V16" s="45" t="str">
        <f ca="1">IF(AND('Mapa final'!$AB$11="Alta",'Mapa final'!$AD$11="Moderado"),CONCATENATE("R1C",'Mapa final'!$R$11),"")</f>
        <v/>
      </c>
      <c r="W16" s="46" t="str">
        <f ca="1">IF(AND('Mapa final'!$AB$12="Alta",'Mapa final'!$AD$12="Moderado"),CONCATENATE("R1C",'Mapa final'!$R$12),"")</f>
        <v/>
      </c>
      <c r="X16" s="46" t="str">
        <f>IF(AND('Mapa final'!$AB$13="Alta",'Mapa final'!$AD$13="Moderado"),CONCATENATE("R1C",'Mapa final'!$R$13),"")</f>
        <v/>
      </c>
      <c r="Y16" s="46" t="str">
        <f>IF(AND('Mapa final'!$AB$14="Alta",'Mapa final'!$AD$14="Moderado"),CONCATENATE("R1C",'Mapa final'!$R$14),"")</f>
        <v/>
      </c>
      <c r="Z16" s="46" t="str">
        <f>IF(AND('Mapa final'!$AB$15="Alta",'Mapa final'!$AD$15="Moderado"),CONCATENATE("R1C",'Mapa final'!$R$15),"")</f>
        <v/>
      </c>
      <c r="AA16" s="47" t="str">
        <f>IF(AND('Mapa final'!$AB$16="Alta",'Mapa final'!$AD$16="Moderado"),CONCATENATE("R1C",'Mapa final'!$R$16),"")</f>
        <v/>
      </c>
      <c r="AB16" s="45" t="str">
        <f ca="1">IF(AND('Mapa final'!$AB$11="Alta",'Mapa final'!$AD$11="Mayor"),CONCATENATE("R1C",'Mapa final'!$R$11),"")</f>
        <v/>
      </c>
      <c r="AC16" s="46" t="str">
        <f ca="1">IF(AND('Mapa final'!$AB$12="Alta",'Mapa final'!$AD$12="Mayor"),CONCATENATE("R1C",'Mapa final'!$R$12),"")</f>
        <v/>
      </c>
      <c r="AD16" s="46" t="str">
        <f>IF(AND('Mapa final'!$AB$13="Alta",'Mapa final'!$AD$13="Mayor"),CONCATENATE("R1C",'Mapa final'!$R$13),"")</f>
        <v/>
      </c>
      <c r="AE16" s="46" t="str">
        <f>IF(AND('Mapa final'!$AB$14="Alta",'Mapa final'!$AD$14="Mayor"),CONCATENATE("R1C",'Mapa final'!$R$14),"")</f>
        <v/>
      </c>
      <c r="AF16" s="46" t="str">
        <f>IF(AND('Mapa final'!$AB$15="Alta",'Mapa final'!$AD$15="Mayor"),CONCATENATE("R1C",'Mapa final'!$R$15),"")</f>
        <v/>
      </c>
      <c r="AG16" s="47" t="str">
        <f>IF(AND('Mapa final'!$AB$16="Alta",'Mapa final'!$AD$16="Mayor"),CONCATENATE("R1C",'Mapa final'!$R$16),"")</f>
        <v/>
      </c>
      <c r="AH16" s="48" t="str">
        <f ca="1">IF(AND('Mapa final'!$AB$11="Alta",'Mapa final'!$AD$11="Catastrófico"),CONCATENATE("R1C",'Mapa final'!$R$11),"")</f>
        <v/>
      </c>
      <c r="AI16" s="49" t="str">
        <f ca="1">IF(AND('Mapa final'!$AB$12="Alta",'Mapa final'!$AD$12="Catastrófico"),CONCATENATE("R1C",'Mapa final'!$R$12),"")</f>
        <v/>
      </c>
      <c r="AJ16" s="49" t="str">
        <f>IF(AND('Mapa final'!$AB$13="Alta",'Mapa final'!$AD$13="Catastrófico"),CONCATENATE("R1C",'Mapa final'!$R$13),"")</f>
        <v/>
      </c>
      <c r="AK16" s="49" t="str">
        <f>IF(AND('Mapa final'!$AB$14="Alta",'Mapa final'!$AD$14="Catastrófico"),CONCATENATE("R1C",'Mapa final'!$R$14),"")</f>
        <v/>
      </c>
      <c r="AL16" s="49" t="str">
        <f>IF(AND('Mapa final'!$AB$15="Alta",'Mapa final'!$AD$15="Catastrófico"),CONCATENATE("R1C",'Mapa final'!$R$15),"")</f>
        <v/>
      </c>
      <c r="AM16" s="50" t="str">
        <f>IF(AND('Mapa final'!$AB$16="Alta",'Mapa final'!$AD$16="Catastrófico"),CONCATENATE("R1C",'Mapa final'!$R$16),"")</f>
        <v/>
      </c>
      <c r="AN16" s="82"/>
      <c r="AO16" s="352" t="s">
        <v>77</v>
      </c>
      <c r="AP16" s="353"/>
      <c r="AQ16" s="353"/>
      <c r="AR16" s="353"/>
      <c r="AS16" s="353"/>
      <c r="AT16" s="354"/>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266"/>
      <c r="C17" s="266"/>
      <c r="D17" s="267"/>
      <c r="E17" s="363"/>
      <c r="F17" s="364"/>
      <c r="G17" s="364"/>
      <c r="H17" s="364"/>
      <c r="I17" s="364"/>
      <c r="J17" s="66" t="str">
        <f ca="1">IF(AND('Mapa final'!$AB$17="Alta",'Mapa final'!$AD$17="Leve"),CONCATENATE("R2C",'Mapa final'!$R$17),"")</f>
        <v/>
      </c>
      <c r="K17" s="67" t="str">
        <f>IF(AND('Mapa final'!$AB$18="Alta",'Mapa final'!$AD$18="Leve"),CONCATENATE("R2C",'Mapa final'!$R$18),"")</f>
        <v/>
      </c>
      <c r="L17" s="67" t="str">
        <f>IF(AND('Mapa final'!$AB$19="Alta",'Mapa final'!$AD$19="Leve"),CONCATENATE("R2C",'Mapa final'!$R$19),"")</f>
        <v/>
      </c>
      <c r="M17" s="67" t="str">
        <f>IF(AND('Mapa final'!$AB$20="Alta",'Mapa final'!$AD$20="Leve"),CONCATENATE("R2C",'Mapa final'!$R$20),"")</f>
        <v/>
      </c>
      <c r="N17" s="67" t="str">
        <f>IF(AND('Mapa final'!$AB$21="Alta",'Mapa final'!$AD$21="Leve"),CONCATENATE("R2C",'Mapa final'!$R$21),"")</f>
        <v/>
      </c>
      <c r="O17" s="68" t="str">
        <f>IF(AND('Mapa final'!$AB$22="Alta",'Mapa final'!$AD$22="Leve"),CONCATENATE("R2C",'Mapa final'!$R$22),"")</f>
        <v/>
      </c>
      <c r="P17" s="66" t="str">
        <f ca="1">IF(AND('Mapa final'!$AB$17="Alta",'Mapa final'!$AD$17="Menor"),CONCATENATE("R2C",'Mapa final'!$R$17),"")</f>
        <v/>
      </c>
      <c r="Q17" s="67" t="str">
        <f>IF(AND('Mapa final'!$AB$18="Alta",'Mapa final'!$AD$18="Menor"),CONCATENATE("R2C",'Mapa final'!$R$18),"")</f>
        <v/>
      </c>
      <c r="R17" s="67" t="str">
        <f>IF(AND('Mapa final'!$AB$19="Alta",'Mapa final'!$AD$19="Menor"),CONCATENATE("R2C",'Mapa final'!$R$19),"")</f>
        <v/>
      </c>
      <c r="S17" s="67" t="str">
        <f>IF(AND('Mapa final'!$AB$20="Alta",'Mapa final'!$AD$20="Menor"),CONCATENATE("R2C",'Mapa final'!$R$20),"")</f>
        <v/>
      </c>
      <c r="T17" s="67" t="str">
        <f>IF(AND('Mapa final'!$AB$21="Alta",'Mapa final'!$AD$21="Menor"),CONCATENATE("R2C",'Mapa final'!$R$21),"")</f>
        <v/>
      </c>
      <c r="U17" s="68" t="str">
        <f>IF(AND('Mapa final'!$AB$22="Alta",'Mapa final'!$AD$22="Menor"),CONCATENATE("R2C",'Mapa final'!$R$22),"")</f>
        <v/>
      </c>
      <c r="V17" s="51" t="str">
        <f ca="1">IF(AND('Mapa final'!$AB$17="Alta",'Mapa final'!$AD$17="Moderado"),CONCATENATE("R2C",'Mapa final'!$R$17),"")</f>
        <v/>
      </c>
      <c r="W17" s="52" t="str">
        <f>IF(AND('Mapa final'!$AB$18="Alta",'Mapa final'!$AD$18="Moderado"),CONCATENATE("R2C",'Mapa final'!$R$18),"")</f>
        <v/>
      </c>
      <c r="X17" s="52" t="str">
        <f>IF(AND('Mapa final'!$AB$19="Alta",'Mapa final'!$AD$19="Moderado"),CONCATENATE("R2C",'Mapa final'!$R$19),"")</f>
        <v/>
      </c>
      <c r="Y17" s="52" t="str">
        <f>IF(AND('Mapa final'!$AB$20="Alta",'Mapa final'!$AD$20="Moderado"),CONCATENATE("R2C",'Mapa final'!$R$20),"")</f>
        <v/>
      </c>
      <c r="Z17" s="52" t="str">
        <f>IF(AND('Mapa final'!$AB$21="Alta",'Mapa final'!$AD$21="Moderado"),CONCATENATE("R2C",'Mapa final'!$R$21),"")</f>
        <v/>
      </c>
      <c r="AA17" s="53" t="str">
        <f>IF(AND('Mapa final'!$AB$22="Alta",'Mapa final'!$AD$22="Moderado"),CONCATENATE("R2C",'Mapa final'!$R$22),"")</f>
        <v/>
      </c>
      <c r="AB17" s="51" t="str">
        <f ca="1">IF(AND('Mapa final'!$AB$17="Alta",'Mapa final'!$AD$17="Mayor"),CONCATENATE("R2C",'Mapa final'!$R$17),"")</f>
        <v/>
      </c>
      <c r="AC17" s="52" t="str">
        <f>IF(AND('Mapa final'!$AB$18="Alta",'Mapa final'!$AD$18="Mayor"),CONCATENATE("R2C",'Mapa final'!$R$18),"")</f>
        <v/>
      </c>
      <c r="AD17" s="52" t="str">
        <f>IF(AND('Mapa final'!$AB$19="Alta",'Mapa final'!$AD$19="Mayor"),CONCATENATE("R2C",'Mapa final'!$R$19),"")</f>
        <v/>
      </c>
      <c r="AE17" s="52" t="str">
        <f>IF(AND('Mapa final'!$AB$20="Alta",'Mapa final'!$AD$20="Mayor"),CONCATENATE("R2C",'Mapa final'!$R$20),"")</f>
        <v/>
      </c>
      <c r="AF17" s="52" t="str">
        <f>IF(AND('Mapa final'!$AB$21="Alta",'Mapa final'!$AD$21="Mayor"),CONCATENATE("R2C",'Mapa final'!$R$21),"")</f>
        <v/>
      </c>
      <c r="AG17" s="53" t="str">
        <f>IF(AND('Mapa final'!$AB$22="Alta",'Mapa final'!$AD$22="Mayor"),CONCATENATE("R2C",'Mapa final'!$R$22),"")</f>
        <v/>
      </c>
      <c r="AH17" s="54" t="str">
        <f ca="1">IF(AND('Mapa final'!$AB$17="Alta",'Mapa final'!$AD$17="Catastrófico"),CONCATENATE("R2C",'Mapa final'!$R$17),"")</f>
        <v/>
      </c>
      <c r="AI17" s="55" t="str">
        <f>IF(AND('Mapa final'!$AB$18="Alta",'Mapa final'!$AD$18="Catastrófico"),CONCATENATE("R2C",'Mapa final'!$R$18),"")</f>
        <v/>
      </c>
      <c r="AJ17" s="55" t="str">
        <f>IF(AND('Mapa final'!$AB$19="Alta",'Mapa final'!$AD$19="Catastrófico"),CONCATENATE("R2C",'Mapa final'!$R$19),"")</f>
        <v/>
      </c>
      <c r="AK17" s="55" t="str">
        <f>IF(AND('Mapa final'!$AB$20="Alta",'Mapa final'!$AD$20="Catastrófico"),CONCATENATE("R2C",'Mapa final'!$R$20),"")</f>
        <v/>
      </c>
      <c r="AL17" s="55" t="str">
        <f>IF(AND('Mapa final'!$AB$21="Alta",'Mapa final'!$AD$21="Catastrófico"),CONCATENATE("R2C",'Mapa final'!$R$21),"")</f>
        <v/>
      </c>
      <c r="AM17" s="56" t="str">
        <f>IF(AND('Mapa final'!$AB$22="Alta",'Mapa final'!$AD$22="Catastrófico"),CONCATENATE("R2C",'Mapa final'!$R$22),"")</f>
        <v/>
      </c>
      <c r="AN17" s="82"/>
      <c r="AO17" s="355"/>
      <c r="AP17" s="356"/>
      <c r="AQ17" s="356"/>
      <c r="AR17" s="356"/>
      <c r="AS17" s="356"/>
      <c r="AT17" s="357"/>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266"/>
      <c r="C18" s="266"/>
      <c r="D18" s="267"/>
      <c r="E18" s="365"/>
      <c r="F18" s="364"/>
      <c r="G18" s="364"/>
      <c r="H18" s="364"/>
      <c r="I18" s="364"/>
      <c r="J18" s="66" t="str">
        <f ca="1">IF(AND('Mapa final'!$AB$23="Alta",'Mapa final'!$AD$23="Leve"),CONCATENATE("R3C",'Mapa final'!$R$23),"")</f>
        <v/>
      </c>
      <c r="K18" s="67" t="str">
        <f>IF(AND('Mapa final'!$AB$24="Alta",'Mapa final'!$AD$24="Leve"),CONCATENATE("R3C",'Mapa final'!$R$24),"")</f>
        <v/>
      </c>
      <c r="L18" s="67" t="str">
        <f>IF(AND('Mapa final'!$AB$25="Alta",'Mapa final'!$AD$25="Leve"),CONCATENATE("R3C",'Mapa final'!$R$25),"")</f>
        <v/>
      </c>
      <c r="M18" s="67" t="str">
        <f>IF(AND('Mapa final'!$AB$26="Alta",'Mapa final'!$AD$26="Leve"),CONCATENATE("R3C",'Mapa final'!$R$26),"")</f>
        <v/>
      </c>
      <c r="N18" s="67" t="str">
        <f>IF(AND('Mapa final'!$AB$27="Alta",'Mapa final'!$AD$27="Leve"),CONCATENATE("R3C",'Mapa final'!$R$27),"")</f>
        <v/>
      </c>
      <c r="O18" s="68" t="str">
        <f>IF(AND('Mapa final'!$AB$28="Alta",'Mapa final'!$AD$28="Leve"),CONCATENATE("R3C",'Mapa final'!$R$28),"")</f>
        <v/>
      </c>
      <c r="P18" s="66" t="str">
        <f ca="1">IF(AND('Mapa final'!$AB$23="Alta",'Mapa final'!$AD$23="Menor"),CONCATENATE("R3C",'Mapa final'!$R$23),"")</f>
        <v/>
      </c>
      <c r="Q18" s="67" t="str">
        <f>IF(AND('Mapa final'!$AB$24="Alta",'Mapa final'!$AD$24="Menor"),CONCATENATE("R3C",'Mapa final'!$R$24),"")</f>
        <v/>
      </c>
      <c r="R18" s="67" t="str">
        <f>IF(AND('Mapa final'!$AB$25="Alta",'Mapa final'!$AD$25="Menor"),CONCATENATE("R3C",'Mapa final'!$R$25),"")</f>
        <v/>
      </c>
      <c r="S18" s="67" t="str">
        <f>IF(AND('Mapa final'!$AB$26="Alta",'Mapa final'!$AD$26="Menor"),CONCATENATE("R3C",'Mapa final'!$R$26),"")</f>
        <v/>
      </c>
      <c r="T18" s="67" t="str">
        <f>IF(AND('Mapa final'!$AB$27="Alta",'Mapa final'!$AD$27="Menor"),CONCATENATE("R3C",'Mapa final'!$R$27),"")</f>
        <v/>
      </c>
      <c r="U18" s="68" t="str">
        <f>IF(AND('Mapa final'!$AB$28="Alta",'Mapa final'!$AD$28="Menor"),CONCATENATE("R3C",'Mapa final'!$R$28),"")</f>
        <v/>
      </c>
      <c r="V18" s="51" t="str">
        <f ca="1">IF(AND('Mapa final'!$AB$23="Alta",'Mapa final'!$AD$23="Moderado"),CONCATENATE("R3C",'Mapa final'!$R$23),"")</f>
        <v/>
      </c>
      <c r="W18" s="52" t="str">
        <f>IF(AND('Mapa final'!$AB$24="Alta",'Mapa final'!$AD$24="Moderado"),CONCATENATE("R3C",'Mapa final'!$R$24),"")</f>
        <v/>
      </c>
      <c r="X18" s="52" t="str">
        <f>IF(AND('Mapa final'!$AB$25="Alta",'Mapa final'!$AD$25="Moderado"),CONCATENATE("R3C",'Mapa final'!$R$25),"")</f>
        <v/>
      </c>
      <c r="Y18" s="52" t="str">
        <f>IF(AND('Mapa final'!$AB$26="Alta",'Mapa final'!$AD$26="Moderado"),CONCATENATE("R3C",'Mapa final'!$R$26),"")</f>
        <v/>
      </c>
      <c r="Z18" s="52" t="str">
        <f>IF(AND('Mapa final'!$AB$27="Alta",'Mapa final'!$AD$27="Moderado"),CONCATENATE("R3C",'Mapa final'!$R$27),"")</f>
        <v/>
      </c>
      <c r="AA18" s="53" t="str">
        <f>IF(AND('Mapa final'!$AB$28="Alta",'Mapa final'!$AD$28="Moderado"),CONCATENATE("R3C",'Mapa final'!$R$28),"")</f>
        <v/>
      </c>
      <c r="AB18" s="51" t="str">
        <f ca="1">IF(AND('Mapa final'!$AB$23="Alta",'Mapa final'!$AD$23="Mayor"),CONCATENATE("R3C",'Mapa final'!$R$23),"")</f>
        <v/>
      </c>
      <c r="AC18" s="52" t="str">
        <f>IF(AND('Mapa final'!$AB$24="Alta",'Mapa final'!$AD$24="Mayor"),CONCATENATE("R3C",'Mapa final'!$R$24),"")</f>
        <v/>
      </c>
      <c r="AD18" s="52" t="str">
        <f>IF(AND('Mapa final'!$AB$25="Alta",'Mapa final'!$AD$25="Mayor"),CONCATENATE("R3C",'Mapa final'!$R$25),"")</f>
        <v/>
      </c>
      <c r="AE18" s="52" t="str">
        <f>IF(AND('Mapa final'!$AB$26="Alta",'Mapa final'!$AD$26="Mayor"),CONCATENATE("R3C",'Mapa final'!$R$26),"")</f>
        <v/>
      </c>
      <c r="AF18" s="52" t="str">
        <f>IF(AND('Mapa final'!$AB$27="Alta",'Mapa final'!$AD$27="Mayor"),CONCATENATE("R3C",'Mapa final'!$R$27),"")</f>
        <v/>
      </c>
      <c r="AG18" s="53" t="str">
        <f>IF(AND('Mapa final'!$AB$28="Alta",'Mapa final'!$AD$28="Mayor"),CONCATENATE("R3C",'Mapa final'!$R$28),"")</f>
        <v/>
      </c>
      <c r="AH18" s="54" t="str">
        <f ca="1">IF(AND('Mapa final'!$AB$23="Alta",'Mapa final'!$AD$23="Catastrófico"),CONCATENATE("R3C",'Mapa final'!$R$23),"")</f>
        <v/>
      </c>
      <c r="AI18" s="55" t="str">
        <f>IF(AND('Mapa final'!$AB$24="Alta",'Mapa final'!$AD$24="Catastrófico"),CONCATENATE("R3C",'Mapa final'!$R$24),"")</f>
        <v/>
      </c>
      <c r="AJ18" s="55" t="str">
        <f>IF(AND('Mapa final'!$AB$25="Alta",'Mapa final'!$AD$25="Catastrófico"),CONCATENATE("R3C",'Mapa final'!$R$25),"")</f>
        <v/>
      </c>
      <c r="AK18" s="55" t="str">
        <f>IF(AND('Mapa final'!$AB$26="Alta",'Mapa final'!$AD$26="Catastrófico"),CONCATENATE("R3C",'Mapa final'!$R$26),"")</f>
        <v/>
      </c>
      <c r="AL18" s="55" t="str">
        <f>IF(AND('Mapa final'!$AB$27="Alta",'Mapa final'!$AD$27="Catastrófico"),CONCATENATE("R3C",'Mapa final'!$R$27),"")</f>
        <v/>
      </c>
      <c r="AM18" s="56" t="str">
        <f>IF(AND('Mapa final'!$AB$28="Alta",'Mapa final'!$AD$28="Catastrófico"),CONCATENATE("R3C",'Mapa final'!$R$28),"")</f>
        <v/>
      </c>
      <c r="AN18" s="82"/>
      <c r="AO18" s="355"/>
      <c r="AP18" s="356"/>
      <c r="AQ18" s="356"/>
      <c r="AR18" s="356"/>
      <c r="AS18" s="356"/>
      <c r="AT18" s="357"/>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266"/>
      <c r="C19" s="266"/>
      <c r="D19" s="267"/>
      <c r="E19" s="365"/>
      <c r="F19" s="364"/>
      <c r="G19" s="364"/>
      <c r="H19" s="364"/>
      <c r="I19" s="364"/>
      <c r="J19" s="66" t="str">
        <f ca="1">IF(AND('Mapa final'!$AB$29="Alta",'Mapa final'!$AD$29="Leve"),CONCATENATE("R4C",'Mapa final'!$R$29),"")</f>
        <v/>
      </c>
      <c r="K19" s="67" t="str">
        <f>IF(AND('Mapa final'!$AB$30="Alta",'Mapa final'!$AD$30="Leve"),CONCATENATE("R4C",'Mapa final'!$R$30),"")</f>
        <v/>
      </c>
      <c r="L19" s="67" t="str">
        <f>IF(AND('Mapa final'!$AB$31="Alta",'Mapa final'!$AD$31="Leve"),CONCATENATE("R4C",'Mapa final'!$R$31),"")</f>
        <v/>
      </c>
      <c r="M19" s="67" t="str">
        <f>IF(AND('Mapa final'!$AB$32="Alta",'Mapa final'!$AD$32="Leve"),CONCATENATE("R4C",'Mapa final'!$R$32),"")</f>
        <v/>
      </c>
      <c r="N19" s="67" t="str">
        <f>IF(AND('Mapa final'!$AB$33="Alta",'Mapa final'!$AD$33="Leve"),CONCATENATE("R4C",'Mapa final'!$R$33),"")</f>
        <v/>
      </c>
      <c r="O19" s="68" t="str">
        <f>IF(AND('Mapa final'!$AB$34="Alta",'Mapa final'!$AD$34="Leve"),CONCATENATE("R4C",'Mapa final'!$R$34),"")</f>
        <v/>
      </c>
      <c r="P19" s="66" t="str">
        <f ca="1">IF(AND('Mapa final'!$AB$29="Alta",'Mapa final'!$AD$29="Menor"),CONCATENATE("R4C",'Mapa final'!$R$29),"")</f>
        <v/>
      </c>
      <c r="Q19" s="67" t="str">
        <f>IF(AND('Mapa final'!$AB$30="Alta",'Mapa final'!$AD$30="Menor"),CONCATENATE("R4C",'Mapa final'!$R$30),"")</f>
        <v/>
      </c>
      <c r="R19" s="67" t="str">
        <f>IF(AND('Mapa final'!$AB$31="Alta",'Mapa final'!$AD$31="Menor"),CONCATENATE("R4C",'Mapa final'!$R$31),"")</f>
        <v/>
      </c>
      <c r="S19" s="67" t="str">
        <f>IF(AND('Mapa final'!$AB$32="Alta",'Mapa final'!$AD$32="Menor"),CONCATENATE("R4C",'Mapa final'!$R$32),"")</f>
        <v/>
      </c>
      <c r="T19" s="67" t="str">
        <f>IF(AND('Mapa final'!$AB$33="Alta",'Mapa final'!$AD$33="Menor"),CONCATENATE("R4C",'Mapa final'!$R$33),"")</f>
        <v/>
      </c>
      <c r="U19" s="68" t="str">
        <f>IF(AND('Mapa final'!$AB$34="Alta",'Mapa final'!$AD$34="Menor"),CONCATENATE("R4C",'Mapa final'!$R$34),"")</f>
        <v/>
      </c>
      <c r="V19" s="51" t="str">
        <f ca="1">IF(AND('Mapa final'!$AB$29="Alta",'Mapa final'!$AD$29="Moderado"),CONCATENATE("R4C",'Mapa final'!$R$29),"")</f>
        <v/>
      </c>
      <c r="W19" s="52" t="str">
        <f>IF(AND('Mapa final'!$AB$30="Alta",'Mapa final'!$AD$30="Moderado"),CONCATENATE("R4C",'Mapa final'!$R$30),"")</f>
        <v/>
      </c>
      <c r="X19" s="52" t="str">
        <f>IF(AND('Mapa final'!$AB$31="Alta",'Mapa final'!$AD$31="Moderado"),CONCATENATE("R4C",'Mapa final'!$R$31),"")</f>
        <v/>
      </c>
      <c r="Y19" s="52" t="str">
        <f>IF(AND('Mapa final'!$AB$32="Alta",'Mapa final'!$AD$32="Moderado"),CONCATENATE("R4C",'Mapa final'!$R$32),"")</f>
        <v/>
      </c>
      <c r="Z19" s="52" t="str">
        <f>IF(AND('Mapa final'!$AB$33="Alta",'Mapa final'!$AD$33="Moderado"),CONCATENATE("R4C",'Mapa final'!$R$33),"")</f>
        <v/>
      </c>
      <c r="AA19" s="53" t="str">
        <f>IF(AND('Mapa final'!$AB$34="Alta",'Mapa final'!$AD$34="Moderado"),CONCATENATE("R4C",'Mapa final'!$R$34),"")</f>
        <v/>
      </c>
      <c r="AB19" s="51" t="str">
        <f ca="1">IF(AND('Mapa final'!$AB$29="Alta",'Mapa final'!$AD$29="Mayor"),CONCATENATE("R4C",'Mapa final'!$R$29),"")</f>
        <v/>
      </c>
      <c r="AC19" s="52" t="str">
        <f>IF(AND('Mapa final'!$AB$30="Alta",'Mapa final'!$AD$30="Mayor"),CONCATENATE("R4C",'Mapa final'!$R$30),"")</f>
        <v/>
      </c>
      <c r="AD19" s="52" t="str">
        <f>IF(AND('Mapa final'!$AB$31="Alta",'Mapa final'!$AD$31="Mayor"),CONCATENATE("R4C",'Mapa final'!$R$31),"")</f>
        <v/>
      </c>
      <c r="AE19" s="52" t="str">
        <f>IF(AND('Mapa final'!$AB$32="Alta",'Mapa final'!$AD$32="Mayor"),CONCATENATE("R4C",'Mapa final'!$R$32),"")</f>
        <v/>
      </c>
      <c r="AF19" s="52" t="str">
        <f>IF(AND('Mapa final'!$AB$33="Alta",'Mapa final'!$AD$33="Mayor"),CONCATENATE("R4C",'Mapa final'!$R$33),"")</f>
        <v/>
      </c>
      <c r="AG19" s="53" t="str">
        <f>IF(AND('Mapa final'!$AB$34="Alta",'Mapa final'!$AD$34="Mayor"),CONCATENATE("R4C",'Mapa final'!$R$34),"")</f>
        <v/>
      </c>
      <c r="AH19" s="54" t="str">
        <f ca="1">IF(AND('Mapa final'!$AB$29="Alta",'Mapa final'!$AD$29="Catastrófico"),CONCATENATE("R4C",'Mapa final'!$R$29),"")</f>
        <v/>
      </c>
      <c r="AI19" s="55" t="str">
        <f>IF(AND('Mapa final'!$AB$30="Alta",'Mapa final'!$AD$30="Catastrófico"),CONCATENATE("R4C",'Mapa final'!$R$30),"")</f>
        <v/>
      </c>
      <c r="AJ19" s="55" t="str">
        <f>IF(AND('Mapa final'!$AB$31="Alta",'Mapa final'!$AD$31="Catastrófico"),CONCATENATE("R4C",'Mapa final'!$R$31),"")</f>
        <v/>
      </c>
      <c r="AK19" s="55" t="str">
        <f>IF(AND('Mapa final'!$AB$32="Alta",'Mapa final'!$AD$32="Catastrófico"),CONCATENATE("R4C",'Mapa final'!$R$32),"")</f>
        <v/>
      </c>
      <c r="AL19" s="55" t="str">
        <f>IF(AND('Mapa final'!$AB$33="Alta",'Mapa final'!$AD$33="Catastrófico"),CONCATENATE("R4C",'Mapa final'!$R$33),"")</f>
        <v/>
      </c>
      <c r="AM19" s="56" t="str">
        <f>IF(AND('Mapa final'!$AB$34="Alta",'Mapa final'!$AD$34="Catastrófico"),CONCATENATE("R4C",'Mapa final'!$R$34),"")</f>
        <v/>
      </c>
      <c r="AN19" s="82"/>
      <c r="AO19" s="355"/>
      <c r="AP19" s="356"/>
      <c r="AQ19" s="356"/>
      <c r="AR19" s="356"/>
      <c r="AS19" s="356"/>
      <c r="AT19" s="357"/>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266"/>
      <c r="C20" s="266"/>
      <c r="D20" s="267"/>
      <c r="E20" s="365"/>
      <c r="F20" s="364"/>
      <c r="G20" s="364"/>
      <c r="H20" s="364"/>
      <c r="I20" s="364"/>
      <c r="J20" s="66" t="e">
        <f>IF(AND('Mapa final'!#REF!="Alta",'Mapa final'!#REF!="Leve"),CONCATENATE("R5C",'Mapa final'!#REF!),"")</f>
        <v>#REF!</v>
      </c>
      <c r="K20" s="67" t="e">
        <f>IF(AND('Mapa final'!#REF!="Alta",'Mapa final'!#REF!="Leve"),CONCATENATE("R5C",'Mapa final'!#REF!),"")</f>
        <v>#REF!</v>
      </c>
      <c r="L20" s="67" t="e">
        <f>IF(AND('Mapa final'!#REF!="Alta",'Mapa final'!#REF!="Leve"),CONCATENATE("R5C",'Mapa final'!#REF!),"")</f>
        <v>#REF!</v>
      </c>
      <c r="M20" s="67" t="e">
        <f>IF(AND('Mapa final'!#REF!="Alta",'Mapa final'!#REF!="Leve"),CONCATENATE("R5C",'Mapa final'!#REF!),"")</f>
        <v>#REF!</v>
      </c>
      <c r="N20" s="67" t="e">
        <f>IF(AND('Mapa final'!#REF!="Alta",'Mapa final'!#REF!="Leve"),CONCATENATE("R5C",'Mapa final'!#REF!),"")</f>
        <v>#REF!</v>
      </c>
      <c r="O20" s="68" t="e">
        <f>IF(AND('Mapa final'!#REF!="Alta",'Mapa final'!#REF!="Leve"),CONCATENATE("R5C",'Mapa final'!#REF!),"")</f>
        <v>#REF!</v>
      </c>
      <c r="P20" s="66" t="e">
        <f>IF(AND('Mapa final'!#REF!="Alta",'Mapa final'!#REF!="Menor"),CONCATENATE("R5C",'Mapa final'!#REF!),"")</f>
        <v>#REF!</v>
      </c>
      <c r="Q20" s="67" t="e">
        <f>IF(AND('Mapa final'!#REF!="Alta",'Mapa final'!#REF!="Menor"),CONCATENATE("R5C",'Mapa final'!#REF!),"")</f>
        <v>#REF!</v>
      </c>
      <c r="R20" s="67" t="e">
        <f>IF(AND('Mapa final'!#REF!="Alta",'Mapa final'!#REF!="Menor"),CONCATENATE("R5C",'Mapa final'!#REF!),"")</f>
        <v>#REF!</v>
      </c>
      <c r="S20" s="67" t="e">
        <f>IF(AND('Mapa final'!#REF!="Alta",'Mapa final'!#REF!="Menor"),CONCATENATE("R5C",'Mapa final'!#REF!),"")</f>
        <v>#REF!</v>
      </c>
      <c r="T20" s="67" t="e">
        <f>IF(AND('Mapa final'!#REF!="Alta",'Mapa final'!#REF!="Menor"),CONCATENATE("R5C",'Mapa final'!#REF!),"")</f>
        <v>#REF!</v>
      </c>
      <c r="U20" s="68" t="e">
        <f>IF(AND('Mapa final'!#REF!="Alta",'Mapa final'!#REF!="Menor"),CONCATENATE("R5C",'Mapa final'!#REF!),"")</f>
        <v>#REF!</v>
      </c>
      <c r="V20" s="51" t="e">
        <f>IF(AND('Mapa final'!#REF!="Alta",'Mapa final'!#REF!="Moderado"),CONCATENATE("R5C",'Mapa final'!#REF!),"")</f>
        <v>#REF!</v>
      </c>
      <c r="W20" s="52" t="e">
        <f>IF(AND('Mapa final'!#REF!="Alta",'Mapa final'!#REF!="Moderado"),CONCATENATE("R5C",'Mapa final'!#REF!),"")</f>
        <v>#REF!</v>
      </c>
      <c r="X20" s="52" t="e">
        <f>IF(AND('Mapa final'!#REF!="Alta",'Mapa final'!#REF!="Moderado"),CONCATENATE("R5C",'Mapa final'!#REF!),"")</f>
        <v>#REF!</v>
      </c>
      <c r="Y20" s="52" t="e">
        <f>IF(AND('Mapa final'!#REF!="Alta",'Mapa final'!#REF!="Moderado"),CONCATENATE("R5C",'Mapa final'!#REF!),"")</f>
        <v>#REF!</v>
      </c>
      <c r="Z20" s="52" t="e">
        <f>IF(AND('Mapa final'!#REF!="Alta",'Mapa final'!#REF!="Moderado"),CONCATENATE("R5C",'Mapa final'!#REF!),"")</f>
        <v>#REF!</v>
      </c>
      <c r="AA20" s="53" t="e">
        <f>IF(AND('Mapa final'!#REF!="Alta",'Mapa final'!#REF!="Moderado"),CONCATENATE("R5C",'Mapa final'!#REF!),"")</f>
        <v>#REF!</v>
      </c>
      <c r="AB20" s="51" t="e">
        <f>IF(AND('Mapa final'!#REF!="Alta",'Mapa final'!#REF!="Mayor"),CONCATENATE("R5C",'Mapa final'!#REF!),"")</f>
        <v>#REF!</v>
      </c>
      <c r="AC20" s="52" t="e">
        <f>IF(AND('Mapa final'!#REF!="Alta",'Mapa final'!#REF!="Mayor"),CONCATENATE("R5C",'Mapa final'!#REF!),"")</f>
        <v>#REF!</v>
      </c>
      <c r="AD20" s="52" t="e">
        <f>IF(AND('Mapa final'!#REF!="Alta",'Mapa final'!#REF!="Mayor"),CONCATENATE("R5C",'Mapa final'!#REF!),"")</f>
        <v>#REF!</v>
      </c>
      <c r="AE20" s="52" t="e">
        <f>IF(AND('Mapa final'!#REF!="Alta",'Mapa final'!#REF!="Mayor"),CONCATENATE("R5C",'Mapa final'!#REF!),"")</f>
        <v>#REF!</v>
      </c>
      <c r="AF20" s="52" t="e">
        <f>IF(AND('Mapa final'!#REF!="Alta",'Mapa final'!#REF!="Mayor"),CONCATENATE("R5C",'Mapa final'!#REF!),"")</f>
        <v>#REF!</v>
      </c>
      <c r="AG20" s="53" t="e">
        <f>IF(AND('Mapa final'!#REF!="Alta",'Mapa final'!#REF!="Mayor"),CONCATENATE("R5C",'Mapa final'!#REF!),"")</f>
        <v>#REF!</v>
      </c>
      <c r="AH20" s="54" t="e">
        <f>IF(AND('Mapa final'!#REF!="Alta",'Mapa final'!#REF!="Catastrófico"),CONCATENATE("R5C",'Mapa final'!#REF!),"")</f>
        <v>#REF!</v>
      </c>
      <c r="AI20" s="55" t="e">
        <f>IF(AND('Mapa final'!#REF!="Alta",'Mapa final'!#REF!="Catastrófico"),CONCATENATE("R5C",'Mapa final'!#REF!),"")</f>
        <v>#REF!</v>
      </c>
      <c r="AJ20" s="55" t="e">
        <f>IF(AND('Mapa final'!#REF!="Alta",'Mapa final'!#REF!="Catastrófico"),CONCATENATE("R5C",'Mapa final'!#REF!),"")</f>
        <v>#REF!</v>
      </c>
      <c r="AK20" s="55" t="e">
        <f>IF(AND('Mapa final'!#REF!="Alta",'Mapa final'!#REF!="Catastrófico"),CONCATENATE("R5C",'Mapa final'!#REF!),"")</f>
        <v>#REF!</v>
      </c>
      <c r="AL20" s="55" t="e">
        <f>IF(AND('Mapa final'!#REF!="Alta",'Mapa final'!#REF!="Catastrófico"),CONCATENATE("R5C",'Mapa final'!#REF!),"")</f>
        <v>#REF!</v>
      </c>
      <c r="AM20" s="56" t="e">
        <f>IF(AND('Mapa final'!#REF!="Alta",'Mapa final'!#REF!="Catastrófico"),CONCATENATE("R5C",'Mapa final'!#REF!),"")</f>
        <v>#REF!</v>
      </c>
      <c r="AN20" s="82"/>
      <c r="AO20" s="355"/>
      <c r="AP20" s="356"/>
      <c r="AQ20" s="356"/>
      <c r="AR20" s="356"/>
      <c r="AS20" s="356"/>
      <c r="AT20" s="357"/>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266"/>
      <c r="C21" s="266"/>
      <c r="D21" s="267"/>
      <c r="E21" s="365"/>
      <c r="F21" s="364"/>
      <c r="G21" s="364"/>
      <c r="H21" s="364"/>
      <c r="I21" s="364"/>
      <c r="J21" s="66" t="str">
        <f ca="1">IF(AND('Mapa final'!$AB$35="Alta",'Mapa final'!$AD$35="Leve"),CONCATENATE("R6C",'Mapa final'!$R$35),"")</f>
        <v/>
      </c>
      <c r="K21" s="67" t="str">
        <f>IF(AND('Mapa final'!$AB$36="Alta",'Mapa final'!$AD$36="Leve"),CONCATENATE("R6C",'Mapa final'!$R$36),"")</f>
        <v/>
      </c>
      <c r="L21" s="67" t="str">
        <f>IF(AND('Mapa final'!$AB$37="Alta",'Mapa final'!$AD$37="Leve"),CONCATENATE("R6C",'Mapa final'!$R$37),"")</f>
        <v/>
      </c>
      <c r="M21" s="67" t="str">
        <f>IF(AND('Mapa final'!$AB$38="Alta",'Mapa final'!$AD$38="Leve"),CONCATENATE("R6C",'Mapa final'!$R$38),"")</f>
        <v/>
      </c>
      <c r="N21" s="67" t="str">
        <f>IF(AND('Mapa final'!$AB$39="Alta",'Mapa final'!$AD$39="Leve"),CONCATENATE("R6C",'Mapa final'!$R$39),"")</f>
        <v/>
      </c>
      <c r="O21" s="68" t="str">
        <f>IF(AND('Mapa final'!$AB$40="Alta",'Mapa final'!$AD$40="Leve"),CONCATENATE("R6C",'Mapa final'!$R$40),"")</f>
        <v/>
      </c>
      <c r="P21" s="66" t="str">
        <f ca="1">IF(AND('Mapa final'!$AB$35="Alta",'Mapa final'!$AD$35="Menor"),CONCATENATE("R6C",'Mapa final'!$R$35),"")</f>
        <v/>
      </c>
      <c r="Q21" s="67" t="str">
        <f>IF(AND('Mapa final'!$AB$36="Alta",'Mapa final'!$AD$36="Menor"),CONCATENATE("R6C",'Mapa final'!$R$36),"")</f>
        <v/>
      </c>
      <c r="R21" s="67" t="str">
        <f>IF(AND('Mapa final'!$AB$37="Alta",'Mapa final'!$AD$37="Menor"),CONCATENATE("R6C",'Mapa final'!$R$37),"")</f>
        <v/>
      </c>
      <c r="S21" s="67" t="str">
        <f>IF(AND('Mapa final'!$AB$38="Alta",'Mapa final'!$AD$38="Menor"),CONCATENATE("R6C",'Mapa final'!$R$38),"")</f>
        <v/>
      </c>
      <c r="T21" s="67" t="str">
        <f>IF(AND('Mapa final'!$AB$39="Alta",'Mapa final'!$AD$39="Menor"),CONCATENATE("R6C",'Mapa final'!$R$39),"")</f>
        <v/>
      </c>
      <c r="U21" s="68" t="str">
        <f>IF(AND('Mapa final'!$AB$40="Alta",'Mapa final'!$AD$40="Menor"),CONCATENATE("R6C",'Mapa final'!$R$40),"")</f>
        <v/>
      </c>
      <c r="V21" s="51" t="str">
        <f ca="1">IF(AND('Mapa final'!$AB$35="Alta",'Mapa final'!$AD$35="Moderado"),CONCATENATE("R6C",'Mapa final'!$R$35),"")</f>
        <v/>
      </c>
      <c r="W21" s="52" t="str">
        <f>IF(AND('Mapa final'!$AB$36="Alta",'Mapa final'!$AD$36="Moderado"),CONCATENATE("R6C",'Mapa final'!$R$36),"")</f>
        <v/>
      </c>
      <c r="X21" s="52" t="str">
        <f>IF(AND('Mapa final'!$AB$37="Alta",'Mapa final'!$AD$37="Moderado"),CONCATENATE("R6C",'Mapa final'!$R$37),"")</f>
        <v/>
      </c>
      <c r="Y21" s="52" t="str">
        <f>IF(AND('Mapa final'!$AB$38="Alta",'Mapa final'!$AD$38="Moderado"),CONCATENATE("R6C",'Mapa final'!$R$38),"")</f>
        <v/>
      </c>
      <c r="Z21" s="52" t="str">
        <f>IF(AND('Mapa final'!$AB$39="Alta",'Mapa final'!$AD$39="Moderado"),CONCATENATE("R6C",'Mapa final'!$R$39),"")</f>
        <v/>
      </c>
      <c r="AA21" s="53" t="str">
        <f>IF(AND('Mapa final'!$AB$40="Alta",'Mapa final'!$AD$40="Moderado"),CONCATENATE("R6C",'Mapa final'!$R$40),"")</f>
        <v/>
      </c>
      <c r="AB21" s="51" t="str">
        <f ca="1">IF(AND('Mapa final'!$AB$35="Alta",'Mapa final'!$AD$35="Mayor"),CONCATENATE("R6C",'Mapa final'!$R$35),"")</f>
        <v/>
      </c>
      <c r="AC21" s="52" t="str">
        <f>IF(AND('Mapa final'!$AB$36="Alta",'Mapa final'!$AD$36="Mayor"),CONCATENATE("R6C",'Mapa final'!$R$36),"")</f>
        <v/>
      </c>
      <c r="AD21" s="52" t="str">
        <f>IF(AND('Mapa final'!$AB$37="Alta",'Mapa final'!$AD$37="Mayor"),CONCATENATE("R6C",'Mapa final'!$R$37),"")</f>
        <v/>
      </c>
      <c r="AE21" s="52" t="str">
        <f>IF(AND('Mapa final'!$AB$38="Alta",'Mapa final'!$AD$38="Mayor"),CONCATENATE("R6C",'Mapa final'!$R$38),"")</f>
        <v/>
      </c>
      <c r="AF21" s="52" t="str">
        <f>IF(AND('Mapa final'!$AB$39="Alta",'Mapa final'!$AD$39="Mayor"),CONCATENATE("R6C",'Mapa final'!$R$39),"")</f>
        <v/>
      </c>
      <c r="AG21" s="53" t="str">
        <f>IF(AND('Mapa final'!$AB$40="Alta",'Mapa final'!$AD$40="Mayor"),CONCATENATE("R6C",'Mapa final'!$R$40),"")</f>
        <v/>
      </c>
      <c r="AH21" s="54" t="str">
        <f ca="1">IF(AND('Mapa final'!$AB$35="Alta",'Mapa final'!$AD$35="Catastrófico"),CONCATENATE("R6C",'Mapa final'!$R$35),"")</f>
        <v/>
      </c>
      <c r="AI21" s="55" t="str">
        <f>IF(AND('Mapa final'!$AB$36="Alta",'Mapa final'!$AD$36="Catastrófico"),CONCATENATE("R6C",'Mapa final'!$R$36),"")</f>
        <v/>
      </c>
      <c r="AJ21" s="55" t="str">
        <f>IF(AND('Mapa final'!$AB$37="Alta",'Mapa final'!$AD$37="Catastrófico"),CONCATENATE("R6C",'Mapa final'!$R$37),"")</f>
        <v/>
      </c>
      <c r="AK21" s="55" t="str">
        <f>IF(AND('Mapa final'!$AB$38="Alta",'Mapa final'!$AD$38="Catastrófico"),CONCATENATE("R6C",'Mapa final'!$R$38),"")</f>
        <v/>
      </c>
      <c r="AL21" s="55" t="str">
        <f>IF(AND('Mapa final'!$AB$39="Alta",'Mapa final'!$AD$39="Catastrófico"),CONCATENATE("R6C",'Mapa final'!$R$39),"")</f>
        <v/>
      </c>
      <c r="AM21" s="56" t="str">
        <f>IF(AND('Mapa final'!$AB$40="Alta",'Mapa final'!$AD$40="Catastrófico"),CONCATENATE("R6C",'Mapa final'!$R$40),"")</f>
        <v/>
      </c>
      <c r="AN21" s="82"/>
      <c r="AO21" s="355"/>
      <c r="AP21" s="356"/>
      <c r="AQ21" s="356"/>
      <c r="AR21" s="356"/>
      <c r="AS21" s="356"/>
      <c r="AT21" s="357"/>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266"/>
      <c r="C22" s="266"/>
      <c r="D22" s="267"/>
      <c r="E22" s="365"/>
      <c r="F22" s="364"/>
      <c r="G22" s="364"/>
      <c r="H22" s="364"/>
      <c r="I22" s="364"/>
      <c r="J22" s="66" t="str">
        <f>IF(AND('Mapa final'!$AB$41="Alta",'Mapa final'!$AD$41="Leve"),CONCATENATE("R7C",'Mapa final'!$R$41),"")</f>
        <v/>
      </c>
      <c r="K22" s="67" t="str">
        <f>IF(AND('Mapa final'!$AB$42="Alta",'Mapa final'!$AD$42="Leve"),CONCATENATE("R7C",'Mapa final'!$R$42),"")</f>
        <v/>
      </c>
      <c r="L22" s="67" t="str">
        <f>IF(AND('Mapa final'!$AB$43="Alta",'Mapa final'!$AD$43="Leve"),CONCATENATE("R7C",'Mapa final'!$R$43),"")</f>
        <v/>
      </c>
      <c r="M22" s="67" t="str">
        <f>IF(AND('Mapa final'!$AB$44="Alta",'Mapa final'!$AD$44="Leve"),CONCATENATE("R7C",'Mapa final'!$R$44),"")</f>
        <v/>
      </c>
      <c r="N22" s="67" t="str">
        <f>IF(AND('Mapa final'!$AB$45="Alta",'Mapa final'!$AD$45="Leve"),CONCATENATE("R7C",'Mapa final'!$R$45),"")</f>
        <v/>
      </c>
      <c r="O22" s="68" t="str">
        <f>IF(AND('Mapa final'!$AB$46="Alta",'Mapa final'!$AD$46="Leve"),CONCATENATE("R7C",'Mapa final'!$R$46),"")</f>
        <v/>
      </c>
      <c r="P22" s="66" t="str">
        <f>IF(AND('Mapa final'!$AB$41="Alta",'Mapa final'!$AD$41="Menor"),CONCATENATE("R7C",'Mapa final'!$R$41),"")</f>
        <v/>
      </c>
      <c r="Q22" s="67" t="str">
        <f>IF(AND('Mapa final'!$AB$42="Alta",'Mapa final'!$AD$42="Menor"),CONCATENATE("R7C",'Mapa final'!$R$42),"")</f>
        <v/>
      </c>
      <c r="R22" s="67" t="str">
        <f>IF(AND('Mapa final'!$AB$43="Alta",'Mapa final'!$AD$43="Menor"),CONCATENATE("R7C",'Mapa final'!$R$43),"")</f>
        <v/>
      </c>
      <c r="S22" s="67" t="str">
        <f>IF(AND('Mapa final'!$AB$44="Alta",'Mapa final'!$AD$44="Menor"),CONCATENATE("R7C",'Mapa final'!$R$44),"")</f>
        <v/>
      </c>
      <c r="T22" s="67" t="str">
        <f>IF(AND('Mapa final'!$AB$45="Alta",'Mapa final'!$AD$45="Menor"),CONCATENATE("R7C",'Mapa final'!$R$45),"")</f>
        <v/>
      </c>
      <c r="U22" s="68" t="str">
        <f>IF(AND('Mapa final'!$AB$46="Alta",'Mapa final'!$AD$46="Menor"),CONCATENATE("R7C",'Mapa final'!$R$46),"")</f>
        <v/>
      </c>
      <c r="V22" s="51" t="str">
        <f>IF(AND('Mapa final'!$AB$41="Alta",'Mapa final'!$AD$41="Moderado"),CONCATENATE("R7C",'Mapa final'!$R$41),"")</f>
        <v/>
      </c>
      <c r="W22" s="52" t="str">
        <f>IF(AND('Mapa final'!$AB$42="Alta",'Mapa final'!$AD$42="Moderado"),CONCATENATE("R7C",'Mapa final'!$R$42),"")</f>
        <v/>
      </c>
      <c r="X22" s="52" t="str">
        <f>IF(AND('Mapa final'!$AB$43="Alta",'Mapa final'!$AD$43="Moderado"),CONCATENATE("R7C",'Mapa final'!$R$43),"")</f>
        <v/>
      </c>
      <c r="Y22" s="52" t="str">
        <f>IF(AND('Mapa final'!$AB$44="Alta",'Mapa final'!$AD$44="Moderado"),CONCATENATE("R7C",'Mapa final'!$R$44),"")</f>
        <v/>
      </c>
      <c r="Z22" s="52" t="str">
        <f>IF(AND('Mapa final'!$AB$45="Alta",'Mapa final'!$AD$45="Moderado"),CONCATENATE("R7C",'Mapa final'!$R$45),"")</f>
        <v/>
      </c>
      <c r="AA22" s="53" t="str">
        <f>IF(AND('Mapa final'!$AB$46="Alta",'Mapa final'!$AD$46="Moderado"),CONCATENATE("R7C",'Mapa final'!$R$46),"")</f>
        <v/>
      </c>
      <c r="AB22" s="51" t="str">
        <f>IF(AND('Mapa final'!$AB$41="Alta",'Mapa final'!$AD$41="Mayor"),CONCATENATE("R7C",'Mapa final'!$R$41),"")</f>
        <v/>
      </c>
      <c r="AC22" s="52" t="str">
        <f>IF(AND('Mapa final'!$AB$42="Alta",'Mapa final'!$AD$42="Mayor"),CONCATENATE("R7C",'Mapa final'!$R$42),"")</f>
        <v/>
      </c>
      <c r="AD22" s="52" t="str">
        <f>IF(AND('Mapa final'!$AB$43="Alta",'Mapa final'!$AD$43="Mayor"),CONCATENATE("R7C",'Mapa final'!$R$43),"")</f>
        <v/>
      </c>
      <c r="AE22" s="52" t="str">
        <f>IF(AND('Mapa final'!$AB$44="Alta",'Mapa final'!$AD$44="Mayor"),CONCATENATE("R7C",'Mapa final'!$R$44),"")</f>
        <v/>
      </c>
      <c r="AF22" s="52" t="str">
        <f>IF(AND('Mapa final'!$AB$45="Alta",'Mapa final'!$AD$45="Mayor"),CONCATENATE("R7C",'Mapa final'!$R$45),"")</f>
        <v/>
      </c>
      <c r="AG22" s="53" t="str">
        <f>IF(AND('Mapa final'!$AB$46="Alta",'Mapa final'!$AD$46="Mayor"),CONCATENATE("R7C",'Mapa final'!$R$46),"")</f>
        <v/>
      </c>
      <c r="AH22" s="54" t="str">
        <f>IF(AND('Mapa final'!$AB$41="Alta",'Mapa final'!$AD$41="Catastrófico"),CONCATENATE("R7C",'Mapa final'!$R$41),"")</f>
        <v/>
      </c>
      <c r="AI22" s="55" t="str">
        <f>IF(AND('Mapa final'!$AB$42="Alta",'Mapa final'!$AD$42="Catastrófico"),CONCATENATE("R7C",'Mapa final'!$R$42),"")</f>
        <v/>
      </c>
      <c r="AJ22" s="55" t="str">
        <f>IF(AND('Mapa final'!$AB$43="Alta",'Mapa final'!$AD$43="Catastrófico"),CONCATENATE("R7C",'Mapa final'!$R$43),"")</f>
        <v/>
      </c>
      <c r="AK22" s="55" t="str">
        <f>IF(AND('Mapa final'!$AB$44="Alta",'Mapa final'!$AD$44="Catastrófico"),CONCATENATE("R7C",'Mapa final'!$R$44),"")</f>
        <v/>
      </c>
      <c r="AL22" s="55" t="str">
        <f>IF(AND('Mapa final'!$AB$45="Alta",'Mapa final'!$AD$45="Catastrófico"),CONCATENATE("R7C",'Mapa final'!$R$45),"")</f>
        <v/>
      </c>
      <c r="AM22" s="56" t="str">
        <f>IF(AND('Mapa final'!$AB$46="Alta",'Mapa final'!$AD$46="Catastrófico"),CONCATENATE("R7C",'Mapa final'!$R$46),"")</f>
        <v/>
      </c>
      <c r="AN22" s="82"/>
      <c r="AO22" s="355"/>
      <c r="AP22" s="356"/>
      <c r="AQ22" s="356"/>
      <c r="AR22" s="356"/>
      <c r="AS22" s="356"/>
      <c r="AT22" s="357"/>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266"/>
      <c r="C23" s="266"/>
      <c r="D23" s="267"/>
      <c r="E23" s="365"/>
      <c r="F23" s="364"/>
      <c r="G23" s="364"/>
      <c r="H23" s="364"/>
      <c r="I23" s="364"/>
      <c r="J23" s="66" t="str">
        <f>IF(AND('Mapa final'!$AB$47="Alta",'Mapa final'!$AD$47="Leve"),CONCATENATE("R8C",'Mapa final'!$R$47),"")</f>
        <v/>
      </c>
      <c r="K23" s="67" t="str">
        <f>IF(AND('Mapa final'!$AB$48="Alta",'Mapa final'!$AD$48="Leve"),CONCATENATE("R8C",'Mapa final'!$R$48),"")</f>
        <v/>
      </c>
      <c r="L23" s="67" t="str">
        <f>IF(AND('Mapa final'!$AB$49="Alta",'Mapa final'!$AD$49="Leve"),CONCATENATE("R8C",'Mapa final'!$R$49),"")</f>
        <v/>
      </c>
      <c r="M23" s="67" t="str">
        <f>IF(AND('Mapa final'!$AB$50="Alta",'Mapa final'!$AD$50="Leve"),CONCATENATE("R8C",'Mapa final'!$R$50),"")</f>
        <v/>
      </c>
      <c r="N23" s="67" t="str">
        <f>IF(AND('Mapa final'!$AB$51="Alta",'Mapa final'!$AD$51="Leve"),CONCATENATE("R8C",'Mapa final'!$R$51),"")</f>
        <v/>
      </c>
      <c r="O23" s="68" t="str">
        <f>IF(AND('Mapa final'!$AB$52="Alta",'Mapa final'!$AD$52="Leve"),CONCATENATE("R8C",'Mapa final'!$R$52),"")</f>
        <v/>
      </c>
      <c r="P23" s="66" t="str">
        <f>IF(AND('Mapa final'!$AB$47="Alta",'Mapa final'!$AD$47="Menor"),CONCATENATE("R8C",'Mapa final'!$R$47),"")</f>
        <v/>
      </c>
      <c r="Q23" s="67" t="str">
        <f>IF(AND('Mapa final'!$AB$48="Alta",'Mapa final'!$AD$48="Menor"),CONCATENATE("R8C",'Mapa final'!$R$48),"")</f>
        <v/>
      </c>
      <c r="R23" s="67" t="str">
        <f>IF(AND('Mapa final'!$AB$49="Alta",'Mapa final'!$AD$49="Menor"),CONCATENATE("R8C",'Mapa final'!$R$49),"")</f>
        <v/>
      </c>
      <c r="S23" s="67" t="str">
        <f>IF(AND('Mapa final'!$AB$50="Alta",'Mapa final'!$AD$50="Menor"),CONCATENATE("R8C",'Mapa final'!$R$50),"")</f>
        <v/>
      </c>
      <c r="T23" s="67" t="str">
        <f>IF(AND('Mapa final'!$AB$51="Alta",'Mapa final'!$AD$51="Menor"),CONCATENATE("R8C",'Mapa final'!$R$51),"")</f>
        <v/>
      </c>
      <c r="U23" s="68" t="str">
        <f>IF(AND('Mapa final'!$AB$52="Alta",'Mapa final'!$AD$52="Menor"),CONCATENATE("R8C",'Mapa final'!$R$52),"")</f>
        <v/>
      </c>
      <c r="V23" s="51" t="str">
        <f>IF(AND('Mapa final'!$AB$47="Alta",'Mapa final'!$AD$47="Moderado"),CONCATENATE("R8C",'Mapa final'!$R$47),"")</f>
        <v/>
      </c>
      <c r="W23" s="52" t="str">
        <f>IF(AND('Mapa final'!$AB$48="Alta",'Mapa final'!$AD$48="Moderado"),CONCATENATE("R8C",'Mapa final'!$R$48),"")</f>
        <v/>
      </c>
      <c r="X23" s="52" t="str">
        <f>IF(AND('Mapa final'!$AB$49="Alta",'Mapa final'!$AD$49="Moderado"),CONCATENATE("R8C",'Mapa final'!$R$49),"")</f>
        <v/>
      </c>
      <c r="Y23" s="52" t="str">
        <f>IF(AND('Mapa final'!$AB$50="Alta",'Mapa final'!$AD$50="Moderado"),CONCATENATE("R8C",'Mapa final'!$R$50),"")</f>
        <v/>
      </c>
      <c r="Z23" s="52" t="str">
        <f>IF(AND('Mapa final'!$AB$51="Alta",'Mapa final'!$AD$51="Moderado"),CONCATENATE("R8C",'Mapa final'!$R$51),"")</f>
        <v/>
      </c>
      <c r="AA23" s="53" t="str">
        <f>IF(AND('Mapa final'!$AB$52="Alta",'Mapa final'!$AD$52="Moderado"),CONCATENATE("R8C",'Mapa final'!$R$52),"")</f>
        <v/>
      </c>
      <c r="AB23" s="51" t="str">
        <f>IF(AND('Mapa final'!$AB$47="Alta",'Mapa final'!$AD$47="Mayor"),CONCATENATE("R8C",'Mapa final'!$R$47),"")</f>
        <v/>
      </c>
      <c r="AC23" s="52" t="str">
        <f>IF(AND('Mapa final'!$AB$48="Alta",'Mapa final'!$AD$48="Mayor"),CONCATENATE("R8C",'Mapa final'!$R$48),"")</f>
        <v/>
      </c>
      <c r="AD23" s="52" t="str">
        <f>IF(AND('Mapa final'!$AB$49="Alta",'Mapa final'!$AD$49="Mayor"),CONCATENATE("R8C",'Mapa final'!$R$49),"")</f>
        <v/>
      </c>
      <c r="AE23" s="52" t="str">
        <f>IF(AND('Mapa final'!$AB$50="Alta",'Mapa final'!$AD$50="Mayor"),CONCATENATE("R8C",'Mapa final'!$R$50),"")</f>
        <v/>
      </c>
      <c r="AF23" s="52" t="str">
        <f>IF(AND('Mapa final'!$AB$51="Alta",'Mapa final'!$AD$51="Mayor"),CONCATENATE("R8C",'Mapa final'!$R$51),"")</f>
        <v/>
      </c>
      <c r="AG23" s="53" t="str">
        <f>IF(AND('Mapa final'!$AB$52="Alta",'Mapa final'!$AD$52="Mayor"),CONCATENATE("R8C",'Mapa final'!$R$52),"")</f>
        <v/>
      </c>
      <c r="AH23" s="54" t="str">
        <f>IF(AND('Mapa final'!$AB$47="Alta",'Mapa final'!$AD$47="Catastrófico"),CONCATENATE("R8C",'Mapa final'!$R$47),"")</f>
        <v/>
      </c>
      <c r="AI23" s="55" t="str">
        <f>IF(AND('Mapa final'!$AB$48="Alta",'Mapa final'!$AD$48="Catastrófico"),CONCATENATE("R8C",'Mapa final'!$R$48),"")</f>
        <v/>
      </c>
      <c r="AJ23" s="55" t="str">
        <f>IF(AND('Mapa final'!$AB$49="Alta",'Mapa final'!$AD$49="Catastrófico"),CONCATENATE("R8C",'Mapa final'!$R$49),"")</f>
        <v/>
      </c>
      <c r="AK23" s="55" t="str">
        <f>IF(AND('Mapa final'!$AB$50="Alta",'Mapa final'!$AD$50="Catastrófico"),CONCATENATE("R8C",'Mapa final'!$R$50),"")</f>
        <v/>
      </c>
      <c r="AL23" s="55" t="str">
        <f>IF(AND('Mapa final'!$AB$51="Alta",'Mapa final'!$AD$51="Catastrófico"),CONCATENATE("R8C",'Mapa final'!$R$51),"")</f>
        <v/>
      </c>
      <c r="AM23" s="56" t="str">
        <f>IF(AND('Mapa final'!$AB$52="Alta",'Mapa final'!$AD$52="Catastrófico"),CONCATENATE("R8C",'Mapa final'!$R$52),"")</f>
        <v/>
      </c>
      <c r="AN23" s="82"/>
      <c r="AO23" s="355"/>
      <c r="AP23" s="356"/>
      <c r="AQ23" s="356"/>
      <c r="AR23" s="356"/>
      <c r="AS23" s="356"/>
      <c r="AT23" s="357"/>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266"/>
      <c r="C24" s="266"/>
      <c r="D24" s="267"/>
      <c r="E24" s="365"/>
      <c r="F24" s="364"/>
      <c r="G24" s="364"/>
      <c r="H24" s="364"/>
      <c r="I24" s="364"/>
      <c r="J24" s="66" t="str">
        <f>IF(AND('Mapa final'!$AB$53="Alta",'Mapa final'!$AD$53="Leve"),CONCATENATE("R9C",'Mapa final'!$R$53),"")</f>
        <v/>
      </c>
      <c r="K24" s="67" t="str">
        <f>IF(AND('Mapa final'!$AB$54="Alta",'Mapa final'!$AD$54="Leve"),CONCATENATE("R9C",'Mapa final'!$R$54),"")</f>
        <v/>
      </c>
      <c r="L24" s="67" t="str">
        <f>IF(AND('Mapa final'!$AB$55="Alta",'Mapa final'!$AD$55="Leve"),CONCATENATE("R9C",'Mapa final'!$R$55),"")</f>
        <v/>
      </c>
      <c r="M24" s="67" t="str">
        <f>IF(AND('Mapa final'!$AB$56="Alta",'Mapa final'!$AD$56="Leve"),CONCATENATE("R9C",'Mapa final'!$R$56),"")</f>
        <v/>
      </c>
      <c r="N24" s="67" t="str">
        <f>IF(AND('Mapa final'!$AB$57="Alta",'Mapa final'!$AD$57="Leve"),CONCATENATE("R9C",'Mapa final'!$R$57),"")</f>
        <v/>
      </c>
      <c r="O24" s="68" t="str">
        <f>IF(AND('Mapa final'!$AB$58="Alta",'Mapa final'!$AD$58="Leve"),CONCATENATE("R9C",'Mapa final'!$R$58),"")</f>
        <v/>
      </c>
      <c r="P24" s="66" t="str">
        <f>IF(AND('Mapa final'!$AB$53="Alta",'Mapa final'!$AD$53="Menor"),CONCATENATE("R9C",'Mapa final'!$R$53),"")</f>
        <v/>
      </c>
      <c r="Q24" s="67" t="str">
        <f>IF(AND('Mapa final'!$AB$54="Alta",'Mapa final'!$AD$54="Menor"),CONCATENATE("R9C",'Mapa final'!$R$54),"")</f>
        <v/>
      </c>
      <c r="R24" s="67" t="str">
        <f>IF(AND('Mapa final'!$AB$55="Alta",'Mapa final'!$AD$55="Menor"),CONCATENATE("R9C",'Mapa final'!$R$55),"")</f>
        <v/>
      </c>
      <c r="S24" s="67" t="str">
        <f>IF(AND('Mapa final'!$AB$56="Alta",'Mapa final'!$AD$56="Menor"),CONCATENATE("R9C",'Mapa final'!$R$56),"")</f>
        <v/>
      </c>
      <c r="T24" s="67" t="str">
        <f>IF(AND('Mapa final'!$AB$57="Alta",'Mapa final'!$AD$57="Menor"),CONCATENATE("R9C",'Mapa final'!$R$57),"")</f>
        <v/>
      </c>
      <c r="U24" s="68" t="str">
        <f>IF(AND('Mapa final'!$AB$58="Alta",'Mapa final'!$AD$58="Menor"),CONCATENATE("R9C",'Mapa final'!$R$58),"")</f>
        <v/>
      </c>
      <c r="V24" s="51" t="str">
        <f>IF(AND('Mapa final'!$AB$53="Alta",'Mapa final'!$AD$53="Moderado"),CONCATENATE("R9C",'Mapa final'!$R$53),"")</f>
        <v/>
      </c>
      <c r="W24" s="52" t="str">
        <f>IF(AND('Mapa final'!$AB$54="Alta",'Mapa final'!$AD$54="Moderado"),CONCATENATE("R9C",'Mapa final'!$R$54),"")</f>
        <v/>
      </c>
      <c r="X24" s="52" t="str">
        <f>IF(AND('Mapa final'!$AB$55="Alta",'Mapa final'!$AD$55="Moderado"),CONCATENATE("R9C",'Mapa final'!$R$55),"")</f>
        <v/>
      </c>
      <c r="Y24" s="52" t="str">
        <f>IF(AND('Mapa final'!$AB$56="Alta",'Mapa final'!$AD$56="Moderado"),CONCATENATE("R9C",'Mapa final'!$R$56),"")</f>
        <v/>
      </c>
      <c r="Z24" s="52" t="str">
        <f>IF(AND('Mapa final'!$AB$57="Alta",'Mapa final'!$AD$57="Moderado"),CONCATENATE("R9C",'Mapa final'!$R$57),"")</f>
        <v/>
      </c>
      <c r="AA24" s="53" t="str">
        <f>IF(AND('Mapa final'!$AB$58="Alta",'Mapa final'!$AD$58="Moderado"),CONCATENATE("R9C",'Mapa final'!$R$58),"")</f>
        <v/>
      </c>
      <c r="AB24" s="51" t="str">
        <f>IF(AND('Mapa final'!$AB$53="Alta",'Mapa final'!$AD$53="Mayor"),CONCATENATE("R9C",'Mapa final'!$R$53),"")</f>
        <v/>
      </c>
      <c r="AC24" s="52" t="str">
        <f>IF(AND('Mapa final'!$AB$54="Alta",'Mapa final'!$AD$54="Mayor"),CONCATENATE("R9C",'Mapa final'!$R$54),"")</f>
        <v/>
      </c>
      <c r="AD24" s="52" t="str">
        <f>IF(AND('Mapa final'!$AB$55="Alta",'Mapa final'!$AD$55="Mayor"),CONCATENATE("R9C",'Mapa final'!$R$55),"")</f>
        <v/>
      </c>
      <c r="AE24" s="52" t="str">
        <f>IF(AND('Mapa final'!$AB$56="Alta",'Mapa final'!$AD$56="Mayor"),CONCATENATE("R9C",'Mapa final'!$R$56),"")</f>
        <v/>
      </c>
      <c r="AF24" s="52" t="str">
        <f>IF(AND('Mapa final'!$AB$57="Alta",'Mapa final'!$AD$57="Mayor"),CONCATENATE("R9C",'Mapa final'!$R$57),"")</f>
        <v/>
      </c>
      <c r="AG24" s="53" t="str">
        <f>IF(AND('Mapa final'!$AB$58="Alta",'Mapa final'!$AD$58="Mayor"),CONCATENATE("R9C",'Mapa final'!$R$58),"")</f>
        <v/>
      </c>
      <c r="AH24" s="54" t="str">
        <f>IF(AND('Mapa final'!$AB$53="Alta",'Mapa final'!$AD$53="Catastrófico"),CONCATENATE("R9C",'Mapa final'!$R$53),"")</f>
        <v/>
      </c>
      <c r="AI24" s="55" t="str">
        <f>IF(AND('Mapa final'!$AB$54="Alta",'Mapa final'!$AD$54="Catastrófico"),CONCATENATE("R9C",'Mapa final'!$R$54),"")</f>
        <v/>
      </c>
      <c r="AJ24" s="55" t="str">
        <f>IF(AND('Mapa final'!$AB$55="Alta",'Mapa final'!$AD$55="Catastrófico"),CONCATENATE("R9C",'Mapa final'!$R$55),"")</f>
        <v/>
      </c>
      <c r="AK24" s="55" t="str">
        <f>IF(AND('Mapa final'!$AB$56="Alta",'Mapa final'!$AD$56="Catastrófico"),CONCATENATE("R9C",'Mapa final'!$R$56),"")</f>
        <v/>
      </c>
      <c r="AL24" s="55" t="str">
        <f>IF(AND('Mapa final'!$AB$57="Alta",'Mapa final'!$AD$57="Catastrófico"),CONCATENATE("R9C",'Mapa final'!$R$57),"")</f>
        <v/>
      </c>
      <c r="AM24" s="56" t="str">
        <f>IF(AND('Mapa final'!$AB$58="Alta",'Mapa final'!$AD$58="Catastrófico"),CONCATENATE("R9C",'Mapa final'!$R$58),"")</f>
        <v/>
      </c>
      <c r="AN24" s="82"/>
      <c r="AO24" s="355"/>
      <c r="AP24" s="356"/>
      <c r="AQ24" s="356"/>
      <c r="AR24" s="356"/>
      <c r="AS24" s="356"/>
      <c r="AT24" s="357"/>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266"/>
      <c r="C25" s="266"/>
      <c r="D25" s="267"/>
      <c r="E25" s="366"/>
      <c r="F25" s="367"/>
      <c r="G25" s="367"/>
      <c r="H25" s="367"/>
      <c r="I25" s="367"/>
      <c r="J25" s="69" t="str">
        <f>IF(AND('Mapa final'!$AB$59="Alta",'Mapa final'!$AD$59="Leve"),CONCATENATE("R10C",'Mapa final'!$R$59),"")</f>
        <v/>
      </c>
      <c r="K25" s="70" t="str">
        <f>IF(AND('Mapa final'!$AB$60="Alta",'Mapa final'!$AD$60="Leve"),CONCATENATE("R10C",'Mapa final'!$R$60),"")</f>
        <v/>
      </c>
      <c r="L25" s="70" t="str">
        <f>IF(AND('Mapa final'!$AB$61="Alta",'Mapa final'!$AD$61="Leve"),CONCATENATE("R10C",'Mapa final'!$R$61),"")</f>
        <v/>
      </c>
      <c r="M25" s="70" t="str">
        <f>IF(AND('Mapa final'!$AB$62="Alta",'Mapa final'!$AD$62="Leve"),CONCATENATE("R10C",'Mapa final'!$R$62),"")</f>
        <v/>
      </c>
      <c r="N25" s="70" t="str">
        <f>IF(AND('Mapa final'!$AB$63="Alta",'Mapa final'!$AD$63="Leve"),CONCATENATE("R10C",'Mapa final'!$R$63),"")</f>
        <v/>
      </c>
      <c r="O25" s="71" t="str">
        <f>IF(AND('Mapa final'!$AB$64="Alta",'Mapa final'!$AD$64="Leve"),CONCATENATE("R10C",'Mapa final'!$R$64),"")</f>
        <v/>
      </c>
      <c r="P25" s="69" t="str">
        <f>IF(AND('Mapa final'!$AB$59="Alta",'Mapa final'!$AD$59="Menor"),CONCATENATE("R10C",'Mapa final'!$R$59),"")</f>
        <v/>
      </c>
      <c r="Q25" s="70" t="str">
        <f>IF(AND('Mapa final'!$AB$60="Alta",'Mapa final'!$AD$60="Menor"),CONCATENATE("R10C",'Mapa final'!$R$60),"")</f>
        <v/>
      </c>
      <c r="R25" s="70" t="str">
        <f>IF(AND('Mapa final'!$AB$61="Alta",'Mapa final'!$AD$61="Menor"),CONCATENATE("R10C",'Mapa final'!$R$61),"")</f>
        <v/>
      </c>
      <c r="S25" s="70" t="str">
        <f>IF(AND('Mapa final'!$AB$62="Alta",'Mapa final'!$AD$62="Menor"),CONCATENATE("R10C",'Mapa final'!$R$62),"")</f>
        <v/>
      </c>
      <c r="T25" s="70" t="str">
        <f>IF(AND('Mapa final'!$AB$63="Alta",'Mapa final'!$AD$63="Menor"),CONCATENATE("R10C",'Mapa final'!$R$63),"")</f>
        <v/>
      </c>
      <c r="U25" s="71" t="str">
        <f>IF(AND('Mapa final'!$AB$64="Alta",'Mapa final'!$AD$64="Menor"),CONCATENATE("R10C",'Mapa final'!$R$64),"")</f>
        <v/>
      </c>
      <c r="V25" s="57" t="str">
        <f>IF(AND('Mapa final'!$AB$59="Alta",'Mapa final'!$AD$59="Moderado"),CONCATENATE("R10C",'Mapa final'!$R$59),"")</f>
        <v/>
      </c>
      <c r="W25" s="58" t="str">
        <f>IF(AND('Mapa final'!$AB$60="Alta",'Mapa final'!$AD$60="Moderado"),CONCATENATE("R10C",'Mapa final'!$R$60),"")</f>
        <v/>
      </c>
      <c r="X25" s="58" t="str">
        <f>IF(AND('Mapa final'!$AB$61="Alta",'Mapa final'!$AD$61="Moderado"),CONCATENATE("R10C",'Mapa final'!$R$61),"")</f>
        <v/>
      </c>
      <c r="Y25" s="58" t="str">
        <f>IF(AND('Mapa final'!$AB$62="Alta",'Mapa final'!$AD$62="Moderado"),CONCATENATE("R10C",'Mapa final'!$R$62),"")</f>
        <v/>
      </c>
      <c r="Z25" s="58" t="str">
        <f>IF(AND('Mapa final'!$AB$63="Alta",'Mapa final'!$AD$63="Moderado"),CONCATENATE("R10C",'Mapa final'!$R$63),"")</f>
        <v/>
      </c>
      <c r="AA25" s="59" t="str">
        <f>IF(AND('Mapa final'!$AB$64="Alta",'Mapa final'!$AD$64="Moderado"),CONCATENATE("R10C",'Mapa final'!$R$64),"")</f>
        <v/>
      </c>
      <c r="AB25" s="57" t="str">
        <f>IF(AND('Mapa final'!$AB$59="Alta",'Mapa final'!$AD$59="Mayor"),CONCATENATE("R10C",'Mapa final'!$R$59),"")</f>
        <v/>
      </c>
      <c r="AC25" s="58" t="str">
        <f>IF(AND('Mapa final'!$AB$60="Alta",'Mapa final'!$AD$60="Mayor"),CONCATENATE("R10C",'Mapa final'!$R$60),"")</f>
        <v/>
      </c>
      <c r="AD25" s="58" t="str">
        <f>IF(AND('Mapa final'!$AB$61="Alta",'Mapa final'!$AD$61="Mayor"),CONCATENATE("R10C",'Mapa final'!$R$61),"")</f>
        <v/>
      </c>
      <c r="AE25" s="58" t="str">
        <f>IF(AND('Mapa final'!$AB$62="Alta",'Mapa final'!$AD$62="Mayor"),CONCATENATE("R10C",'Mapa final'!$R$62),"")</f>
        <v/>
      </c>
      <c r="AF25" s="58" t="str">
        <f>IF(AND('Mapa final'!$AB$63="Alta",'Mapa final'!$AD$63="Mayor"),CONCATENATE("R10C",'Mapa final'!$R$63),"")</f>
        <v/>
      </c>
      <c r="AG25" s="59" t="str">
        <f>IF(AND('Mapa final'!$AB$64="Alta",'Mapa final'!$AD$64="Mayor"),CONCATENATE("R10C",'Mapa final'!$R$64),"")</f>
        <v/>
      </c>
      <c r="AH25" s="60" t="str">
        <f>IF(AND('Mapa final'!$AB$59="Alta",'Mapa final'!$AD$59="Catastrófico"),CONCATENATE("R10C",'Mapa final'!$R$59),"")</f>
        <v/>
      </c>
      <c r="AI25" s="61" t="str">
        <f>IF(AND('Mapa final'!$AB$60="Alta",'Mapa final'!$AD$60="Catastrófico"),CONCATENATE("R10C",'Mapa final'!$R$60),"")</f>
        <v/>
      </c>
      <c r="AJ25" s="61" t="str">
        <f>IF(AND('Mapa final'!$AB$61="Alta",'Mapa final'!$AD$61="Catastrófico"),CONCATENATE("R10C",'Mapa final'!$R$61),"")</f>
        <v/>
      </c>
      <c r="AK25" s="61" t="str">
        <f>IF(AND('Mapa final'!$AB$62="Alta",'Mapa final'!$AD$62="Catastrófico"),CONCATENATE("R10C",'Mapa final'!$R$62),"")</f>
        <v/>
      </c>
      <c r="AL25" s="61" t="str">
        <f>IF(AND('Mapa final'!$AB$63="Alta",'Mapa final'!$AD$63="Catastrófico"),CONCATENATE("R10C",'Mapa final'!$R$63),"")</f>
        <v/>
      </c>
      <c r="AM25" s="62" t="str">
        <f>IF(AND('Mapa final'!$AB$64="Alta",'Mapa final'!$AD$64="Catastrófico"),CONCATENATE("R10C",'Mapa final'!$R$64),"")</f>
        <v/>
      </c>
      <c r="AN25" s="82"/>
      <c r="AO25" s="358"/>
      <c r="AP25" s="359"/>
      <c r="AQ25" s="359"/>
      <c r="AR25" s="359"/>
      <c r="AS25" s="359"/>
      <c r="AT25" s="36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266"/>
      <c r="C26" s="266"/>
      <c r="D26" s="267"/>
      <c r="E26" s="361" t="s">
        <v>109</v>
      </c>
      <c r="F26" s="362"/>
      <c r="G26" s="362"/>
      <c r="H26" s="362"/>
      <c r="I26" s="379"/>
      <c r="J26" s="63" t="str">
        <f ca="1">IF(AND('Mapa final'!$AB$11="Media",'Mapa final'!$AD$11="Leve"),CONCATENATE("R1C",'Mapa final'!$R$11),"")</f>
        <v/>
      </c>
      <c r="K26" s="64" t="str">
        <f ca="1">IF(AND('Mapa final'!$AB$12="Media",'Mapa final'!$AD$12="Leve"),CONCATENATE("R1C",'Mapa final'!$R$12),"")</f>
        <v/>
      </c>
      <c r="L26" s="64" t="str">
        <f>IF(AND('Mapa final'!$AB$13="Media",'Mapa final'!$AD$13="Leve"),CONCATENATE("R1C",'Mapa final'!$R$13),"")</f>
        <v/>
      </c>
      <c r="M26" s="64" t="str">
        <f>IF(AND('Mapa final'!$AB$14="Media",'Mapa final'!$AD$14="Leve"),CONCATENATE("R1C",'Mapa final'!$R$14),"")</f>
        <v/>
      </c>
      <c r="N26" s="64" t="str">
        <f>IF(AND('Mapa final'!$AB$15="Media",'Mapa final'!$AD$15="Leve"),CONCATENATE("R1C",'Mapa final'!$R$15),"")</f>
        <v/>
      </c>
      <c r="O26" s="65" t="str">
        <f>IF(AND('Mapa final'!$AB$16="Media",'Mapa final'!$AD$16="Leve"),CONCATENATE("R1C",'Mapa final'!$R$16),"")</f>
        <v/>
      </c>
      <c r="P26" s="63" t="str">
        <f ca="1">IF(AND('Mapa final'!$AB$11="Media",'Mapa final'!$AD$11="Menor"),CONCATENATE("R1C",'Mapa final'!$R$11),"")</f>
        <v/>
      </c>
      <c r="Q26" s="64" t="str">
        <f ca="1">IF(AND('Mapa final'!$AB$12="Media",'Mapa final'!$AD$12="Menor"),CONCATENATE("R1C",'Mapa final'!$R$12),"")</f>
        <v/>
      </c>
      <c r="R26" s="64" t="str">
        <f>IF(AND('Mapa final'!$AB$13="Media",'Mapa final'!$AD$13="Menor"),CONCATENATE("R1C",'Mapa final'!$R$13),"")</f>
        <v/>
      </c>
      <c r="S26" s="64" t="str">
        <f>IF(AND('Mapa final'!$AB$14="Media",'Mapa final'!$AD$14="Menor"),CONCATENATE("R1C",'Mapa final'!$R$14),"")</f>
        <v/>
      </c>
      <c r="T26" s="64" t="str">
        <f>IF(AND('Mapa final'!$AB$15="Media",'Mapa final'!$AD$15="Menor"),CONCATENATE("R1C",'Mapa final'!$R$15),"")</f>
        <v/>
      </c>
      <c r="U26" s="65" t="str">
        <f>IF(AND('Mapa final'!$AB$16="Media",'Mapa final'!$AD$16="Menor"),CONCATENATE("R1C",'Mapa final'!$R$16),"")</f>
        <v/>
      </c>
      <c r="V26" s="63" t="str">
        <f ca="1">IF(AND('Mapa final'!$AB$11="Media",'Mapa final'!$AD$11="Moderado"),CONCATENATE("R1C",'Mapa final'!$R$11),"")</f>
        <v>R1C1</v>
      </c>
      <c r="W26" s="64" t="str">
        <f ca="1">IF(AND('Mapa final'!$AB$12="Media",'Mapa final'!$AD$12="Moderado"),CONCATENATE("R1C",'Mapa final'!$R$12),"")</f>
        <v>R1C2</v>
      </c>
      <c r="X26" s="64" t="str">
        <f>IF(AND('Mapa final'!$AB$13="Media",'Mapa final'!$AD$13="Moderado"),CONCATENATE("R1C",'Mapa final'!$R$13),"")</f>
        <v/>
      </c>
      <c r="Y26" s="64" t="str">
        <f>IF(AND('Mapa final'!$AB$14="Media",'Mapa final'!$AD$14="Moderado"),CONCATENATE("R1C",'Mapa final'!$R$14),"")</f>
        <v/>
      </c>
      <c r="Z26" s="64" t="str">
        <f>IF(AND('Mapa final'!$AB$15="Media",'Mapa final'!$AD$15="Moderado"),CONCATENATE("R1C",'Mapa final'!$R$15),"")</f>
        <v/>
      </c>
      <c r="AA26" s="65" t="str">
        <f>IF(AND('Mapa final'!$AB$16="Media",'Mapa final'!$AD$16="Moderado"),CONCATENATE("R1C",'Mapa final'!$R$16),"")</f>
        <v/>
      </c>
      <c r="AB26" s="45" t="str">
        <f ca="1">IF(AND('Mapa final'!$AB$11="Media",'Mapa final'!$AD$11="Mayor"),CONCATENATE("R1C",'Mapa final'!$R$11),"")</f>
        <v/>
      </c>
      <c r="AC26" s="46" t="str">
        <f ca="1">IF(AND('Mapa final'!$AB$12="Media",'Mapa final'!$AD$12="Mayor"),CONCATENATE("R1C",'Mapa final'!$R$12),"")</f>
        <v/>
      </c>
      <c r="AD26" s="46" t="str">
        <f>IF(AND('Mapa final'!$AB$13="Media",'Mapa final'!$AD$13="Mayor"),CONCATENATE("R1C",'Mapa final'!$R$13),"")</f>
        <v/>
      </c>
      <c r="AE26" s="46" t="str">
        <f>IF(AND('Mapa final'!$AB$14="Media",'Mapa final'!$AD$14="Mayor"),CONCATENATE("R1C",'Mapa final'!$R$14),"")</f>
        <v/>
      </c>
      <c r="AF26" s="46" t="str">
        <f>IF(AND('Mapa final'!$AB$15="Media",'Mapa final'!$AD$15="Mayor"),CONCATENATE("R1C",'Mapa final'!$R$15),"")</f>
        <v/>
      </c>
      <c r="AG26" s="47" t="str">
        <f>IF(AND('Mapa final'!$AB$16="Media",'Mapa final'!$AD$16="Mayor"),CONCATENATE("R1C",'Mapa final'!$R$16),"")</f>
        <v/>
      </c>
      <c r="AH26" s="48" t="str">
        <f ca="1">IF(AND('Mapa final'!$AB$11="Media",'Mapa final'!$AD$11="Catastrófico"),CONCATENATE("R1C",'Mapa final'!$R$11),"")</f>
        <v/>
      </c>
      <c r="AI26" s="49" t="str">
        <f ca="1">IF(AND('Mapa final'!$AB$12="Media",'Mapa final'!$AD$12="Catastrófico"),CONCATENATE("R1C",'Mapa final'!$R$12),"")</f>
        <v/>
      </c>
      <c r="AJ26" s="49" t="str">
        <f>IF(AND('Mapa final'!$AB$13="Media",'Mapa final'!$AD$13="Catastrófico"),CONCATENATE("R1C",'Mapa final'!$R$13),"")</f>
        <v/>
      </c>
      <c r="AK26" s="49" t="str">
        <f>IF(AND('Mapa final'!$AB$14="Media",'Mapa final'!$AD$14="Catastrófico"),CONCATENATE("R1C",'Mapa final'!$R$14),"")</f>
        <v/>
      </c>
      <c r="AL26" s="49" t="str">
        <f>IF(AND('Mapa final'!$AB$15="Media",'Mapa final'!$AD$15="Catastrófico"),CONCATENATE("R1C",'Mapa final'!$R$15),"")</f>
        <v/>
      </c>
      <c r="AM26" s="50" t="str">
        <f>IF(AND('Mapa final'!$AB$16="Media",'Mapa final'!$AD$16="Catastrófico"),CONCATENATE("R1C",'Mapa final'!$R$16),"")</f>
        <v/>
      </c>
      <c r="AN26" s="82"/>
      <c r="AO26" s="391" t="s">
        <v>78</v>
      </c>
      <c r="AP26" s="392"/>
      <c r="AQ26" s="392"/>
      <c r="AR26" s="392"/>
      <c r="AS26" s="392"/>
      <c r="AT26" s="393"/>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266"/>
      <c r="C27" s="266"/>
      <c r="D27" s="267"/>
      <c r="E27" s="363"/>
      <c r="F27" s="364"/>
      <c r="G27" s="364"/>
      <c r="H27" s="364"/>
      <c r="I27" s="380"/>
      <c r="J27" s="66" t="str">
        <f ca="1">IF(AND('Mapa final'!$AB$17="Media",'Mapa final'!$AD$17="Leve"),CONCATENATE("R2C",'Mapa final'!$R$17),"")</f>
        <v/>
      </c>
      <c r="K27" s="67" t="str">
        <f>IF(AND('Mapa final'!$AB$18="Media",'Mapa final'!$AD$18="Leve"),CONCATENATE("R2C",'Mapa final'!$R$18),"")</f>
        <v/>
      </c>
      <c r="L27" s="67" t="str">
        <f>IF(AND('Mapa final'!$AB$19="Media",'Mapa final'!$AD$19="Leve"),CONCATENATE("R2C",'Mapa final'!$R$19),"")</f>
        <v/>
      </c>
      <c r="M27" s="67" t="str">
        <f>IF(AND('Mapa final'!$AB$20="Media",'Mapa final'!$AD$20="Leve"),CONCATENATE("R2C",'Mapa final'!$R$20),"")</f>
        <v/>
      </c>
      <c r="N27" s="67" t="str">
        <f>IF(AND('Mapa final'!$AB$21="Media",'Mapa final'!$AD$21="Leve"),CONCATENATE("R2C",'Mapa final'!$R$21),"")</f>
        <v/>
      </c>
      <c r="O27" s="68" t="str">
        <f>IF(AND('Mapa final'!$AB$22="Media",'Mapa final'!$AD$22="Leve"),CONCATENATE("R2C",'Mapa final'!$R$22),"")</f>
        <v/>
      </c>
      <c r="P27" s="66" t="str">
        <f ca="1">IF(AND('Mapa final'!$AB$17="Media",'Mapa final'!$AD$17="Menor"),CONCATENATE("R2C",'Mapa final'!$R$17),"")</f>
        <v/>
      </c>
      <c r="Q27" s="67" t="str">
        <f>IF(AND('Mapa final'!$AB$18="Media",'Mapa final'!$AD$18="Menor"),CONCATENATE("R2C",'Mapa final'!$R$18),"")</f>
        <v/>
      </c>
      <c r="R27" s="67" t="str">
        <f>IF(AND('Mapa final'!$AB$19="Media",'Mapa final'!$AD$19="Menor"),CONCATENATE("R2C",'Mapa final'!$R$19),"")</f>
        <v/>
      </c>
      <c r="S27" s="67" t="str">
        <f>IF(AND('Mapa final'!$AB$20="Media",'Mapa final'!$AD$20="Menor"),CONCATENATE("R2C",'Mapa final'!$R$20),"")</f>
        <v/>
      </c>
      <c r="T27" s="67" t="str">
        <f>IF(AND('Mapa final'!$AB$21="Media",'Mapa final'!$AD$21="Menor"),CONCATENATE("R2C",'Mapa final'!$R$21),"")</f>
        <v/>
      </c>
      <c r="U27" s="68" t="str">
        <f>IF(AND('Mapa final'!$AB$22="Media",'Mapa final'!$AD$22="Menor"),CONCATENATE("R2C",'Mapa final'!$R$22),"")</f>
        <v/>
      </c>
      <c r="V27" s="66" t="str">
        <f ca="1">IF(AND('Mapa final'!$AB$17="Media",'Mapa final'!$AD$17="Moderado"),CONCATENATE("R2C",'Mapa final'!$R$17),"")</f>
        <v>R2C1</v>
      </c>
      <c r="W27" s="67" t="str">
        <f>IF(AND('Mapa final'!$AB$18="Media",'Mapa final'!$AD$18="Moderado"),CONCATENATE("R2C",'Mapa final'!$R$18),"")</f>
        <v/>
      </c>
      <c r="X27" s="67" t="str">
        <f>IF(AND('Mapa final'!$AB$19="Media",'Mapa final'!$AD$19="Moderado"),CONCATENATE("R2C",'Mapa final'!$R$19),"")</f>
        <v/>
      </c>
      <c r="Y27" s="67" t="str">
        <f>IF(AND('Mapa final'!$AB$20="Media",'Mapa final'!$AD$20="Moderado"),CONCATENATE("R2C",'Mapa final'!$R$20),"")</f>
        <v/>
      </c>
      <c r="Z27" s="67" t="str">
        <f>IF(AND('Mapa final'!$AB$21="Media",'Mapa final'!$AD$21="Moderado"),CONCATENATE("R2C",'Mapa final'!$R$21),"")</f>
        <v/>
      </c>
      <c r="AA27" s="68" t="str">
        <f>IF(AND('Mapa final'!$AB$22="Media",'Mapa final'!$AD$22="Moderado"),CONCATENATE("R2C",'Mapa final'!$R$22),"")</f>
        <v/>
      </c>
      <c r="AB27" s="51" t="str">
        <f ca="1">IF(AND('Mapa final'!$AB$17="Media",'Mapa final'!$AD$17="Mayor"),CONCATENATE("R2C",'Mapa final'!$R$17),"")</f>
        <v/>
      </c>
      <c r="AC27" s="52" t="str">
        <f>IF(AND('Mapa final'!$AB$18="Media",'Mapa final'!$AD$18="Mayor"),CONCATENATE("R2C",'Mapa final'!$R$18),"")</f>
        <v/>
      </c>
      <c r="AD27" s="52" t="str">
        <f>IF(AND('Mapa final'!$AB$19="Media",'Mapa final'!$AD$19="Mayor"),CONCATENATE("R2C",'Mapa final'!$R$19),"")</f>
        <v/>
      </c>
      <c r="AE27" s="52" t="str">
        <f>IF(AND('Mapa final'!$AB$20="Media",'Mapa final'!$AD$20="Mayor"),CONCATENATE("R2C",'Mapa final'!$R$20),"")</f>
        <v/>
      </c>
      <c r="AF27" s="52" t="str">
        <f>IF(AND('Mapa final'!$AB$21="Media",'Mapa final'!$AD$21="Mayor"),CONCATENATE("R2C",'Mapa final'!$R$21),"")</f>
        <v/>
      </c>
      <c r="AG27" s="53" t="str">
        <f>IF(AND('Mapa final'!$AB$22="Media",'Mapa final'!$AD$22="Mayor"),CONCATENATE("R2C",'Mapa final'!$R$22),"")</f>
        <v/>
      </c>
      <c r="AH27" s="54" t="str">
        <f ca="1">IF(AND('Mapa final'!$AB$17="Media",'Mapa final'!$AD$17="Catastrófico"),CONCATENATE("R2C",'Mapa final'!$R$17),"")</f>
        <v/>
      </c>
      <c r="AI27" s="55" t="str">
        <f>IF(AND('Mapa final'!$AB$18="Media",'Mapa final'!$AD$18="Catastrófico"),CONCATENATE("R2C",'Mapa final'!$R$18),"")</f>
        <v/>
      </c>
      <c r="AJ27" s="55" t="str">
        <f>IF(AND('Mapa final'!$AB$19="Media",'Mapa final'!$AD$19="Catastrófico"),CONCATENATE("R2C",'Mapa final'!$R$19),"")</f>
        <v/>
      </c>
      <c r="AK27" s="55" t="str">
        <f>IF(AND('Mapa final'!$AB$20="Media",'Mapa final'!$AD$20="Catastrófico"),CONCATENATE("R2C",'Mapa final'!$R$20),"")</f>
        <v/>
      </c>
      <c r="AL27" s="55" t="str">
        <f>IF(AND('Mapa final'!$AB$21="Media",'Mapa final'!$AD$21="Catastrófico"),CONCATENATE("R2C",'Mapa final'!$R$21),"")</f>
        <v/>
      </c>
      <c r="AM27" s="56" t="str">
        <f>IF(AND('Mapa final'!$AB$22="Media",'Mapa final'!$AD$22="Catastrófico"),CONCATENATE("R2C",'Mapa final'!$R$22),"")</f>
        <v/>
      </c>
      <c r="AN27" s="82"/>
      <c r="AO27" s="394"/>
      <c r="AP27" s="395"/>
      <c r="AQ27" s="395"/>
      <c r="AR27" s="395"/>
      <c r="AS27" s="395"/>
      <c r="AT27" s="396"/>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266"/>
      <c r="C28" s="266"/>
      <c r="D28" s="267"/>
      <c r="E28" s="365"/>
      <c r="F28" s="364"/>
      <c r="G28" s="364"/>
      <c r="H28" s="364"/>
      <c r="I28" s="380"/>
      <c r="J28" s="66" t="str">
        <f ca="1">IF(AND('Mapa final'!$AB$23="Media",'Mapa final'!$AD$23="Leve"),CONCATENATE("R3C",'Mapa final'!$R$23),"")</f>
        <v/>
      </c>
      <c r="K28" s="67" t="str">
        <f>IF(AND('Mapa final'!$AB$24="Media",'Mapa final'!$AD$24="Leve"),CONCATENATE("R3C",'Mapa final'!$R$24),"")</f>
        <v/>
      </c>
      <c r="L28" s="67" t="str">
        <f>IF(AND('Mapa final'!$AB$25="Media",'Mapa final'!$AD$25="Leve"),CONCATENATE("R3C",'Mapa final'!$R$25),"")</f>
        <v/>
      </c>
      <c r="M28" s="67" t="str">
        <f>IF(AND('Mapa final'!$AB$26="Media",'Mapa final'!$AD$26="Leve"),CONCATENATE("R3C",'Mapa final'!$R$26),"")</f>
        <v/>
      </c>
      <c r="N28" s="67" t="str">
        <f>IF(AND('Mapa final'!$AB$27="Media",'Mapa final'!$AD$27="Leve"),CONCATENATE("R3C",'Mapa final'!$R$27),"")</f>
        <v/>
      </c>
      <c r="O28" s="68" t="str">
        <f>IF(AND('Mapa final'!$AB$28="Media",'Mapa final'!$AD$28="Leve"),CONCATENATE("R3C",'Mapa final'!$R$28),"")</f>
        <v/>
      </c>
      <c r="P28" s="66" t="str">
        <f ca="1">IF(AND('Mapa final'!$AB$23="Media",'Mapa final'!$AD$23="Menor"),CONCATENATE("R3C",'Mapa final'!$R$23),"")</f>
        <v/>
      </c>
      <c r="Q28" s="67" t="str">
        <f>IF(AND('Mapa final'!$AB$24="Media",'Mapa final'!$AD$24="Menor"),CONCATENATE("R3C",'Mapa final'!$R$24),"")</f>
        <v/>
      </c>
      <c r="R28" s="67" t="str">
        <f>IF(AND('Mapa final'!$AB$25="Media",'Mapa final'!$AD$25="Menor"),CONCATENATE("R3C",'Mapa final'!$R$25),"")</f>
        <v/>
      </c>
      <c r="S28" s="67" t="str">
        <f>IF(AND('Mapa final'!$AB$26="Media",'Mapa final'!$AD$26="Menor"),CONCATENATE("R3C",'Mapa final'!$R$26),"")</f>
        <v/>
      </c>
      <c r="T28" s="67" t="str">
        <f>IF(AND('Mapa final'!$AB$27="Media",'Mapa final'!$AD$27="Menor"),CONCATENATE("R3C",'Mapa final'!$R$27),"")</f>
        <v/>
      </c>
      <c r="U28" s="68" t="str">
        <f>IF(AND('Mapa final'!$AB$28="Media",'Mapa final'!$AD$28="Menor"),CONCATENATE("R3C",'Mapa final'!$R$28),"")</f>
        <v/>
      </c>
      <c r="V28" s="66" t="str">
        <f ca="1">IF(AND('Mapa final'!$AB$23="Media",'Mapa final'!$AD$23="Moderado"),CONCATENATE("R3C",'Mapa final'!$R$23),"")</f>
        <v/>
      </c>
      <c r="W28" s="67" t="str">
        <f>IF(AND('Mapa final'!$AB$24="Media",'Mapa final'!$AD$24="Moderado"),CONCATENATE("R3C",'Mapa final'!$R$24),"")</f>
        <v/>
      </c>
      <c r="X28" s="67" t="str">
        <f>IF(AND('Mapa final'!$AB$25="Media",'Mapa final'!$AD$25="Moderado"),CONCATENATE("R3C",'Mapa final'!$R$25),"")</f>
        <v/>
      </c>
      <c r="Y28" s="67" t="str">
        <f>IF(AND('Mapa final'!$AB$26="Media",'Mapa final'!$AD$26="Moderado"),CONCATENATE("R3C",'Mapa final'!$R$26),"")</f>
        <v/>
      </c>
      <c r="Z28" s="67" t="str">
        <f>IF(AND('Mapa final'!$AB$27="Media",'Mapa final'!$AD$27="Moderado"),CONCATENATE("R3C",'Mapa final'!$R$27),"")</f>
        <v/>
      </c>
      <c r="AA28" s="68" t="str">
        <f>IF(AND('Mapa final'!$AB$28="Media",'Mapa final'!$AD$28="Moderado"),CONCATENATE("R3C",'Mapa final'!$R$28),"")</f>
        <v/>
      </c>
      <c r="AB28" s="51" t="str">
        <f ca="1">IF(AND('Mapa final'!$AB$23="Media",'Mapa final'!$AD$23="Mayor"),CONCATENATE("R3C",'Mapa final'!$R$23),"")</f>
        <v/>
      </c>
      <c r="AC28" s="52" t="str">
        <f>IF(AND('Mapa final'!$AB$24="Media",'Mapa final'!$AD$24="Mayor"),CONCATENATE("R3C",'Mapa final'!$R$24),"")</f>
        <v/>
      </c>
      <c r="AD28" s="52" t="str">
        <f>IF(AND('Mapa final'!$AB$25="Media",'Mapa final'!$AD$25="Mayor"),CONCATENATE("R3C",'Mapa final'!$R$25),"")</f>
        <v/>
      </c>
      <c r="AE28" s="52" t="str">
        <f>IF(AND('Mapa final'!$AB$26="Media",'Mapa final'!$AD$26="Mayor"),CONCATENATE("R3C",'Mapa final'!$R$26),"")</f>
        <v/>
      </c>
      <c r="AF28" s="52" t="str">
        <f>IF(AND('Mapa final'!$AB$27="Media",'Mapa final'!$AD$27="Mayor"),CONCATENATE("R3C",'Mapa final'!$R$27),"")</f>
        <v/>
      </c>
      <c r="AG28" s="53" t="str">
        <f>IF(AND('Mapa final'!$AB$28="Media",'Mapa final'!$AD$28="Mayor"),CONCATENATE("R3C",'Mapa final'!$R$28),"")</f>
        <v/>
      </c>
      <c r="AH28" s="54" t="str">
        <f ca="1">IF(AND('Mapa final'!$AB$23="Media",'Mapa final'!$AD$23="Catastrófico"),CONCATENATE("R3C",'Mapa final'!$R$23),"")</f>
        <v/>
      </c>
      <c r="AI28" s="55" t="str">
        <f>IF(AND('Mapa final'!$AB$24="Media",'Mapa final'!$AD$24="Catastrófico"),CONCATENATE("R3C",'Mapa final'!$R$24),"")</f>
        <v/>
      </c>
      <c r="AJ28" s="55" t="str">
        <f>IF(AND('Mapa final'!$AB$25="Media",'Mapa final'!$AD$25="Catastrófico"),CONCATENATE("R3C",'Mapa final'!$R$25),"")</f>
        <v/>
      </c>
      <c r="AK28" s="55" t="str">
        <f>IF(AND('Mapa final'!$AB$26="Media",'Mapa final'!$AD$26="Catastrófico"),CONCATENATE("R3C",'Mapa final'!$R$26),"")</f>
        <v/>
      </c>
      <c r="AL28" s="55" t="str">
        <f>IF(AND('Mapa final'!$AB$27="Media",'Mapa final'!$AD$27="Catastrófico"),CONCATENATE("R3C",'Mapa final'!$R$27),"")</f>
        <v/>
      </c>
      <c r="AM28" s="56" t="str">
        <f>IF(AND('Mapa final'!$AB$28="Media",'Mapa final'!$AD$28="Catastrófico"),CONCATENATE("R3C",'Mapa final'!$R$28),"")</f>
        <v/>
      </c>
      <c r="AN28" s="82"/>
      <c r="AO28" s="394"/>
      <c r="AP28" s="395"/>
      <c r="AQ28" s="395"/>
      <c r="AR28" s="395"/>
      <c r="AS28" s="395"/>
      <c r="AT28" s="396"/>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266"/>
      <c r="C29" s="266"/>
      <c r="D29" s="267"/>
      <c r="E29" s="365"/>
      <c r="F29" s="364"/>
      <c r="G29" s="364"/>
      <c r="H29" s="364"/>
      <c r="I29" s="380"/>
      <c r="J29" s="66" t="str">
        <f ca="1">IF(AND('Mapa final'!$AB$29="Media",'Mapa final'!$AD$29="Leve"),CONCATENATE("R4C",'Mapa final'!$R$29),"")</f>
        <v/>
      </c>
      <c r="K29" s="67" t="str">
        <f>IF(AND('Mapa final'!$AB$30="Media",'Mapa final'!$AD$30="Leve"),CONCATENATE("R4C",'Mapa final'!$R$30),"")</f>
        <v/>
      </c>
      <c r="L29" s="67" t="str">
        <f>IF(AND('Mapa final'!$AB$31="Media",'Mapa final'!$AD$31="Leve"),CONCATENATE("R4C",'Mapa final'!$R$31),"")</f>
        <v/>
      </c>
      <c r="M29" s="67" t="str">
        <f>IF(AND('Mapa final'!$AB$32="Media",'Mapa final'!$AD$32="Leve"),CONCATENATE("R4C",'Mapa final'!$R$32),"")</f>
        <v/>
      </c>
      <c r="N29" s="67" t="str">
        <f>IF(AND('Mapa final'!$AB$33="Media",'Mapa final'!$AD$33="Leve"),CONCATENATE("R4C",'Mapa final'!$R$33),"")</f>
        <v/>
      </c>
      <c r="O29" s="68" t="str">
        <f>IF(AND('Mapa final'!$AB$34="Media",'Mapa final'!$AD$34="Leve"),CONCATENATE("R4C",'Mapa final'!$R$34),"")</f>
        <v/>
      </c>
      <c r="P29" s="66" t="str">
        <f ca="1">IF(AND('Mapa final'!$AB$29="Media",'Mapa final'!$AD$29="Menor"),CONCATENATE("R4C",'Mapa final'!$R$29),"")</f>
        <v/>
      </c>
      <c r="Q29" s="67" t="str">
        <f>IF(AND('Mapa final'!$AB$30="Media",'Mapa final'!$AD$30="Menor"),CONCATENATE("R4C",'Mapa final'!$R$30),"")</f>
        <v/>
      </c>
      <c r="R29" s="67" t="str">
        <f>IF(AND('Mapa final'!$AB$31="Media",'Mapa final'!$AD$31="Menor"),CONCATENATE("R4C",'Mapa final'!$R$31),"")</f>
        <v/>
      </c>
      <c r="S29" s="67" t="str">
        <f>IF(AND('Mapa final'!$AB$32="Media",'Mapa final'!$AD$32="Menor"),CONCATENATE("R4C",'Mapa final'!$R$32),"")</f>
        <v/>
      </c>
      <c r="T29" s="67" t="str">
        <f>IF(AND('Mapa final'!$AB$33="Media",'Mapa final'!$AD$33="Menor"),CONCATENATE("R4C",'Mapa final'!$R$33),"")</f>
        <v/>
      </c>
      <c r="U29" s="68" t="str">
        <f>IF(AND('Mapa final'!$AB$34="Media",'Mapa final'!$AD$34="Menor"),CONCATENATE("R4C",'Mapa final'!$R$34),"")</f>
        <v/>
      </c>
      <c r="V29" s="66" t="str">
        <f ca="1">IF(AND('Mapa final'!$AB$29="Media",'Mapa final'!$AD$29="Moderado"),CONCATENATE("R4C",'Mapa final'!$R$29),"")</f>
        <v>R4C1</v>
      </c>
      <c r="W29" s="67" t="str">
        <f>IF(AND('Mapa final'!$AB$30="Media",'Mapa final'!$AD$30="Moderado"),CONCATENATE("R4C",'Mapa final'!$R$30),"")</f>
        <v/>
      </c>
      <c r="X29" s="67" t="str">
        <f>IF(AND('Mapa final'!$AB$31="Media",'Mapa final'!$AD$31="Moderado"),CONCATENATE("R4C",'Mapa final'!$R$31),"")</f>
        <v/>
      </c>
      <c r="Y29" s="67" t="str">
        <f>IF(AND('Mapa final'!$AB$32="Media",'Mapa final'!$AD$32="Moderado"),CONCATENATE("R4C",'Mapa final'!$R$32),"")</f>
        <v/>
      </c>
      <c r="Z29" s="67" t="str">
        <f>IF(AND('Mapa final'!$AB$33="Media",'Mapa final'!$AD$33="Moderado"),CONCATENATE("R4C",'Mapa final'!$R$33),"")</f>
        <v/>
      </c>
      <c r="AA29" s="68" t="str">
        <f>IF(AND('Mapa final'!$AB$34="Media",'Mapa final'!$AD$34="Moderado"),CONCATENATE("R4C",'Mapa final'!$R$34),"")</f>
        <v/>
      </c>
      <c r="AB29" s="51" t="str">
        <f ca="1">IF(AND('Mapa final'!$AB$29="Media",'Mapa final'!$AD$29="Mayor"),CONCATENATE("R4C",'Mapa final'!$R$29),"")</f>
        <v/>
      </c>
      <c r="AC29" s="52" t="str">
        <f>IF(AND('Mapa final'!$AB$30="Media",'Mapa final'!$AD$30="Mayor"),CONCATENATE("R4C",'Mapa final'!$R$30),"")</f>
        <v/>
      </c>
      <c r="AD29" s="52" t="str">
        <f>IF(AND('Mapa final'!$AB$31="Media",'Mapa final'!$AD$31="Mayor"),CONCATENATE("R4C",'Mapa final'!$R$31),"")</f>
        <v/>
      </c>
      <c r="AE29" s="52" t="str">
        <f>IF(AND('Mapa final'!$AB$32="Media",'Mapa final'!$AD$32="Mayor"),CONCATENATE("R4C",'Mapa final'!$R$32),"")</f>
        <v/>
      </c>
      <c r="AF29" s="52" t="str">
        <f>IF(AND('Mapa final'!$AB$33="Media",'Mapa final'!$AD$33="Mayor"),CONCATENATE("R4C",'Mapa final'!$R$33),"")</f>
        <v/>
      </c>
      <c r="AG29" s="53" t="str">
        <f>IF(AND('Mapa final'!$AB$34="Media",'Mapa final'!$AD$34="Mayor"),CONCATENATE("R4C",'Mapa final'!$R$34),"")</f>
        <v/>
      </c>
      <c r="AH29" s="54" t="str">
        <f ca="1">IF(AND('Mapa final'!$AB$29="Media",'Mapa final'!$AD$29="Catastrófico"),CONCATENATE("R4C",'Mapa final'!$R$29),"")</f>
        <v/>
      </c>
      <c r="AI29" s="55" t="str">
        <f>IF(AND('Mapa final'!$AB$30="Media",'Mapa final'!$AD$30="Catastrófico"),CONCATENATE("R4C",'Mapa final'!$R$30),"")</f>
        <v/>
      </c>
      <c r="AJ29" s="55" t="str">
        <f>IF(AND('Mapa final'!$AB$31="Media",'Mapa final'!$AD$31="Catastrófico"),CONCATENATE("R4C",'Mapa final'!$R$31),"")</f>
        <v/>
      </c>
      <c r="AK29" s="55" t="str">
        <f>IF(AND('Mapa final'!$AB$32="Media",'Mapa final'!$AD$32="Catastrófico"),CONCATENATE("R4C",'Mapa final'!$R$32),"")</f>
        <v/>
      </c>
      <c r="AL29" s="55" t="str">
        <f>IF(AND('Mapa final'!$AB$33="Media",'Mapa final'!$AD$33="Catastrófico"),CONCATENATE("R4C",'Mapa final'!$R$33),"")</f>
        <v/>
      </c>
      <c r="AM29" s="56" t="str">
        <f>IF(AND('Mapa final'!$AB$34="Media",'Mapa final'!$AD$34="Catastrófico"),CONCATENATE("R4C",'Mapa final'!$R$34),"")</f>
        <v/>
      </c>
      <c r="AN29" s="82"/>
      <c r="AO29" s="394"/>
      <c r="AP29" s="395"/>
      <c r="AQ29" s="395"/>
      <c r="AR29" s="395"/>
      <c r="AS29" s="395"/>
      <c r="AT29" s="396"/>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266"/>
      <c r="C30" s="266"/>
      <c r="D30" s="267"/>
      <c r="E30" s="365"/>
      <c r="F30" s="364"/>
      <c r="G30" s="364"/>
      <c r="H30" s="364"/>
      <c r="I30" s="380"/>
      <c r="J30" s="66" t="e">
        <f>IF(AND('Mapa final'!#REF!="Media",'Mapa final'!#REF!="Leve"),CONCATENATE("R5C",'Mapa final'!#REF!),"")</f>
        <v>#REF!</v>
      </c>
      <c r="K30" s="67" t="e">
        <f>IF(AND('Mapa final'!#REF!="Media",'Mapa final'!#REF!="Leve"),CONCATENATE("R5C",'Mapa final'!#REF!),"")</f>
        <v>#REF!</v>
      </c>
      <c r="L30" s="67" t="e">
        <f>IF(AND('Mapa final'!#REF!="Media",'Mapa final'!#REF!="Leve"),CONCATENATE("R5C",'Mapa final'!#REF!),"")</f>
        <v>#REF!</v>
      </c>
      <c r="M30" s="67" t="e">
        <f>IF(AND('Mapa final'!#REF!="Media",'Mapa final'!#REF!="Leve"),CONCATENATE("R5C",'Mapa final'!#REF!),"")</f>
        <v>#REF!</v>
      </c>
      <c r="N30" s="67" t="e">
        <f>IF(AND('Mapa final'!#REF!="Media",'Mapa final'!#REF!="Leve"),CONCATENATE("R5C",'Mapa final'!#REF!),"")</f>
        <v>#REF!</v>
      </c>
      <c r="O30" s="68" t="e">
        <f>IF(AND('Mapa final'!#REF!="Media",'Mapa final'!#REF!="Leve"),CONCATENATE("R5C",'Mapa final'!#REF!),"")</f>
        <v>#REF!</v>
      </c>
      <c r="P30" s="66" t="e">
        <f>IF(AND('Mapa final'!#REF!="Media",'Mapa final'!#REF!="Menor"),CONCATENATE("R5C",'Mapa final'!#REF!),"")</f>
        <v>#REF!</v>
      </c>
      <c r="Q30" s="67" t="e">
        <f>IF(AND('Mapa final'!#REF!="Media",'Mapa final'!#REF!="Menor"),CONCATENATE("R5C",'Mapa final'!#REF!),"")</f>
        <v>#REF!</v>
      </c>
      <c r="R30" s="67" t="e">
        <f>IF(AND('Mapa final'!#REF!="Media",'Mapa final'!#REF!="Menor"),CONCATENATE("R5C",'Mapa final'!#REF!),"")</f>
        <v>#REF!</v>
      </c>
      <c r="S30" s="67" t="e">
        <f>IF(AND('Mapa final'!#REF!="Media",'Mapa final'!#REF!="Menor"),CONCATENATE("R5C",'Mapa final'!#REF!),"")</f>
        <v>#REF!</v>
      </c>
      <c r="T30" s="67" t="e">
        <f>IF(AND('Mapa final'!#REF!="Media",'Mapa final'!#REF!="Menor"),CONCATENATE("R5C",'Mapa final'!#REF!),"")</f>
        <v>#REF!</v>
      </c>
      <c r="U30" s="68" t="e">
        <f>IF(AND('Mapa final'!#REF!="Media",'Mapa final'!#REF!="Menor"),CONCATENATE("R5C",'Mapa final'!#REF!),"")</f>
        <v>#REF!</v>
      </c>
      <c r="V30" s="66" t="e">
        <f>IF(AND('Mapa final'!#REF!="Media",'Mapa final'!#REF!="Moderado"),CONCATENATE("R5C",'Mapa final'!#REF!),"")</f>
        <v>#REF!</v>
      </c>
      <c r="W30" s="67" t="e">
        <f>IF(AND('Mapa final'!#REF!="Media",'Mapa final'!#REF!="Moderado"),CONCATENATE("R5C",'Mapa final'!#REF!),"")</f>
        <v>#REF!</v>
      </c>
      <c r="X30" s="67" t="e">
        <f>IF(AND('Mapa final'!#REF!="Media",'Mapa final'!#REF!="Moderado"),CONCATENATE("R5C",'Mapa final'!#REF!),"")</f>
        <v>#REF!</v>
      </c>
      <c r="Y30" s="67" t="e">
        <f>IF(AND('Mapa final'!#REF!="Media",'Mapa final'!#REF!="Moderado"),CONCATENATE("R5C",'Mapa final'!#REF!),"")</f>
        <v>#REF!</v>
      </c>
      <c r="Z30" s="67" t="e">
        <f>IF(AND('Mapa final'!#REF!="Media",'Mapa final'!#REF!="Moderado"),CONCATENATE("R5C",'Mapa final'!#REF!),"")</f>
        <v>#REF!</v>
      </c>
      <c r="AA30" s="68" t="e">
        <f>IF(AND('Mapa final'!#REF!="Media",'Mapa final'!#REF!="Moderado"),CONCATENATE("R5C",'Mapa final'!#REF!),"")</f>
        <v>#REF!</v>
      </c>
      <c r="AB30" s="51" t="e">
        <f>IF(AND('Mapa final'!#REF!="Media",'Mapa final'!#REF!="Mayor"),CONCATENATE("R5C",'Mapa final'!#REF!),"")</f>
        <v>#REF!</v>
      </c>
      <c r="AC30" s="52" t="e">
        <f>IF(AND('Mapa final'!#REF!="Media",'Mapa final'!#REF!="Mayor"),CONCATENATE("R5C",'Mapa final'!#REF!),"")</f>
        <v>#REF!</v>
      </c>
      <c r="AD30" s="52" t="e">
        <f>IF(AND('Mapa final'!#REF!="Media",'Mapa final'!#REF!="Mayor"),CONCATENATE("R5C",'Mapa final'!#REF!),"")</f>
        <v>#REF!</v>
      </c>
      <c r="AE30" s="52" t="e">
        <f>IF(AND('Mapa final'!#REF!="Media",'Mapa final'!#REF!="Mayor"),CONCATENATE("R5C",'Mapa final'!#REF!),"")</f>
        <v>#REF!</v>
      </c>
      <c r="AF30" s="52" t="e">
        <f>IF(AND('Mapa final'!#REF!="Media",'Mapa final'!#REF!="Mayor"),CONCATENATE("R5C",'Mapa final'!#REF!),"")</f>
        <v>#REF!</v>
      </c>
      <c r="AG30" s="53" t="e">
        <f>IF(AND('Mapa final'!#REF!="Media",'Mapa final'!#REF!="Mayor"),CONCATENATE("R5C",'Mapa final'!#REF!),"")</f>
        <v>#REF!</v>
      </c>
      <c r="AH30" s="54" t="e">
        <f>IF(AND('Mapa final'!#REF!="Media",'Mapa final'!#REF!="Catastrófico"),CONCATENATE("R5C",'Mapa final'!#REF!),"")</f>
        <v>#REF!</v>
      </c>
      <c r="AI30" s="55" t="e">
        <f>IF(AND('Mapa final'!#REF!="Media",'Mapa final'!#REF!="Catastrófico"),CONCATENATE("R5C",'Mapa final'!#REF!),"")</f>
        <v>#REF!</v>
      </c>
      <c r="AJ30" s="55" t="e">
        <f>IF(AND('Mapa final'!#REF!="Media",'Mapa final'!#REF!="Catastrófico"),CONCATENATE("R5C",'Mapa final'!#REF!),"")</f>
        <v>#REF!</v>
      </c>
      <c r="AK30" s="55" t="e">
        <f>IF(AND('Mapa final'!#REF!="Media",'Mapa final'!#REF!="Catastrófico"),CONCATENATE("R5C",'Mapa final'!#REF!),"")</f>
        <v>#REF!</v>
      </c>
      <c r="AL30" s="55" t="e">
        <f>IF(AND('Mapa final'!#REF!="Media",'Mapa final'!#REF!="Catastrófico"),CONCATENATE("R5C",'Mapa final'!#REF!),"")</f>
        <v>#REF!</v>
      </c>
      <c r="AM30" s="56" t="e">
        <f>IF(AND('Mapa final'!#REF!="Media",'Mapa final'!#REF!="Catastrófico"),CONCATENATE("R5C",'Mapa final'!#REF!),"")</f>
        <v>#REF!</v>
      </c>
      <c r="AN30" s="82"/>
      <c r="AO30" s="394"/>
      <c r="AP30" s="395"/>
      <c r="AQ30" s="395"/>
      <c r="AR30" s="395"/>
      <c r="AS30" s="395"/>
      <c r="AT30" s="39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266"/>
      <c r="C31" s="266"/>
      <c r="D31" s="267"/>
      <c r="E31" s="365"/>
      <c r="F31" s="364"/>
      <c r="G31" s="364"/>
      <c r="H31" s="364"/>
      <c r="I31" s="380"/>
      <c r="J31" s="66" t="str">
        <f ca="1">IF(AND('Mapa final'!$AB$35="Media",'Mapa final'!$AD$35="Leve"),CONCATENATE("R6C",'Mapa final'!$R$35),"")</f>
        <v/>
      </c>
      <c r="K31" s="67" t="str">
        <f>IF(AND('Mapa final'!$AB$36="Media",'Mapa final'!$AD$36="Leve"),CONCATENATE("R6C",'Mapa final'!$R$36),"")</f>
        <v/>
      </c>
      <c r="L31" s="67" t="str">
        <f>IF(AND('Mapa final'!$AB$37="Media",'Mapa final'!$AD$37="Leve"),CONCATENATE("R6C",'Mapa final'!$R$37),"")</f>
        <v/>
      </c>
      <c r="M31" s="67" t="str">
        <f>IF(AND('Mapa final'!$AB$38="Media",'Mapa final'!$AD$38="Leve"),CONCATENATE("R6C",'Mapa final'!$R$38),"")</f>
        <v/>
      </c>
      <c r="N31" s="67" t="str">
        <f>IF(AND('Mapa final'!$AB$39="Media",'Mapa final'!$AD$39="Leve"),CONCATENATE("R6C",'Mapa final'!$R$39),"")</f>
        <v/>
      </c>
      <c r="O31" s="68" t="str">
        <f>IF(AND('Mapa final'!$AB$40="Media",'Mapa final'!$AD$40="Leve"),CONCATENATE("R6C",'Mapa final'!$R$40),"")</f>
        <v/>
      </c>
      <c r="P31" s="66" t="str">
        <f ca="1">IF(AND('Mapa final'!$AB$35="Media",'Mapa final'!$AD$35="Menor"),CONCATENATE("R6C",'Mapa final'!$R$35),"")</f>
        <v/>
      </c>
      <c r="Q31" s="67" t="str">
        <f>IF(AND('Mapa final'!$AB$36="Media",'Mapa final'!$AD$36="Menor"),CONCATENATE("R6C",'Mapa final'!$R$36),"")</f>
        <v/>
      </c>
      <c r="R31" s="67" t="str">
        <f>IF(AND('Mapa final'!$AB$37="Media",'Mapa final'!$AD$37="Menor"),CONCATENATE("R6C",'Mapa final'!$R$37),"")</f>
        <v/>
      </c>
      <c r="S31" s="67" t="str">
        <f>IF(AND('Mapa final'!$AB$38="Media",'Mapa final'!$AD$38="Menor"),CONCATENATE("R6C",'Mapa final'!$R$38),"")</f>
        <v/>
      </c>
      <c r="T31" s="67" t="str">
        <f>IF(AND('Mapa final'!$AB$39="Media",'Mapa final'!$AD$39="Menor"),CONCATENATE("R6C",'Mapa final'!$R$39),"")</f>
        <v/>
      </c>
      <c r="U31" s="68" t="str">
        <f>IF(AND('Mapa final'!$AB$40="Media",'Mapa final'!$AD$40="Menor"),CONCATENATE("R6C",'Mapa final'!$R$40),"")</f>
        <v/>
      </c>
      <c r="V31" s="66" t="str">
        <f ca="1">IF(AND('Mapa final'!$AB$35="Media",'Mapa final'!$AD$35="Moderado"),CONCATENATE("R6C",'Mapa final'!$R$35),"")</f>
        <v/>
      </c>
      <c r="W31" s="67" t="str">
        <f>IF(AND('Mapa final'!$AB$36="Media",'Mapa final'!$AD$36="Moderado"),CONCATENATE("R6C",'Mapa final'!$R$36),"")</f>
        <v/>
      </c>
      <c r="X31" s="67" t="str">
        <f>IF(AND('Mapa final'!$AB$37="Media",'Mapa final'!$AD$37="Moderado"),CONCATENATE("R6C",'Mapa final'!$R$37),"")</f>
        <v/>
      </c>
      <c r="Y31" s="67" t="str">
        <f>IF(AND('Mapa final'!$AB$38="Media",'Mapa final'!$AD$38="Moderado"),CONCATENATE("R6C",'Mapa final'!$R$38),"")</f>
        <v/>
      </c>
      <c r="Z31" s="67" t="str">
        <f>IF(AND('Mapa final'!$AB$39="Media",'Mapa final'!$AD$39="Moderado"),CONCATENATE("R6C",'Mapa final'!$R$39),"")</f>
        <v/>
      </c>
      <c r="AA31" s="68" t="str">
        <f>IF(AND('Mapa final'!$AB$40="Media",'Mapa final'!$AD$40="Moderado"),CONCATENATE("R6C",'Mapa final'!$R$40),"")</f>
        <v/>
      </c>
      <c r="AB31" s="51" t="str">
        <f ca="1">IF(AND('Mapa final'!$AB$35="Media",'Mapa final'!$AD$35="Mayor"),CONCATENATE("R6C",'Mapa final'!$R$35),"")</f>
        <v/>
      </c>
      <c r="AC31" s="52" t="str">
        <f>IF(AND('Mapa final'!$AB$36="Media",'Mapa final'!$AD$36="Mayor"),CONCATENATE("R6C",'Mapa final'!$R$36),"")</f>
        <v/>
      </c>
      <c r="AD31" s="52" t="str">
        <f>IF(AND('Mapa final'!$AB$37="Media",'Mapa final'!$AD$37="Mayor"),CONCATENATE("R6C",'Mapa final'!$R$37),"")</f>
        <v/>
      </c>
      <c r="AE31" s="52" t="str">
        <f>IF(AND('Mapa final'!$AB$38="Media",'Mapa final'!$AD$38="Mayor"),CONCATENATE("R6C",'Mapa final'!$R$38),"")</f>
        <v/>
      </c>
      <c r="AF31" s="52" t="str">
        <f>IF(AND('Mapa final'!$AB$39="Media",'Mapa final'!$AD$39="Mayor"),CONCATENATE("R6C",'Mapa final'!$R$39),"")</f>
        <v/>
      </c>
      <c r="AG31" s="53" t="str">
        <f>IF(AND('Mapa final'!$AB$40="Media",'Mapa final'!$AD$40="Mayor"),CONCATENATE("R6C",'Mapa final'!$R$40),"")</f>
        <v/>
      </c>
      <c r="AH31" s="54" t="str">
        <f ca="1">IF(AND('Mapa final'!$AB$35="Media",'Mapa final'!$AD$35="Catastrófico"),CONCATENATE("R6C",'Mapa final'!$R$35),"")</f>
        <v/>
      </c>
      <c r="AI31" s="55" t="str">
        <f>IF(AND('Mapa final'!$AB$36="Media",'Mapa final'!$AD$36="Catastrófico"),CONCATENATE("R6C",'Mapa final'!$R$36),"")</f>
        <v/>
      </c>
      <c r="AJ31" s="55" t="str">
        <f>IF(AND('Mapa final'!$AB$37="Media",'Mapa final'!$AD$37="Catastrófico"),CONCATENATE("R6C",'Mapa final'!$R$37),"")</f>
        <v/>
      </c>
      <c r="AK31" s="55" t="str">
        <f>IF(AND('Mapa final'!$AB$38="Media",'Mapa final'!$AD$38="Catastrófico"),CONCATENATE("R6C",'Mapa final'!$R$38),"")</f>
        <v/>
      </c>
      <c r="AL31" s="55" t="str">
        <f>IF(AND('Mapa final'!$AB$39="Media",'Mapa final'!$AD$39="Catastrófico"),CONCATENATE("R6C",'Mapa final'!$R$39),"")</f>
        <v/>
      </c>
      <c r="AM31" s="56" t="str">
        <f>IF(AND('Mapa final'!$AB$40="Media",'Mapa final'!$AD$40="Catastrófico"),CONCATENATE("R6C",'Mapa final'!$R$40),"")</f>
        <v/>
      </c>
      <c r="AN31" s="82"/>
      <c r="AO31" s="394"/>
      <c r="AP31" s="395"/>
      <c r="AQ31" s="395"/>
      <c r="AR31" s="395"/>
      <c r="AS31" s="395"/>
      <c r="AT31" s="396"/>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266"/>
      <c r="C32" s="266"/>
      <c r="D32" s="267"/>
      <c r="E32" s="365"/>
      <c r="F32" s="364"/>
      <c r="G32" s="364"/>
      <c r="H32" s="364"/>
      <c r="I32" s="380"/>
      <c r="J32" s="66" t="str">
        <f>IF(AND('Mapa final'!$AB$41="Media",'Mapa final'!$AD$41="Leve"),CONCATENATE("R7C",'Mapa final'!$R$41),"")</f>
        <v/>
      </c>
      <c r="K32" s="67" t="str">
        <f>IF(AND('Mapa final'!$AB$42="Media",'Mapa final'!$AD$42="Leve"),CONCATENATE("R7C",'Mapa final'!$R$42),"")</f>
        <v/>
      </c>
      <c r="L32" s="67" t="str">
        <f>IF(AND('Mapa final'!$AB$43="Media",'Mapa final'!$AD$43="Leve"),CONCATENATE("R7C",'Mapa final'!$R$43),"")</f>
        <v/>
      </c>
      <c r="M32" s="67" t="str">
        <f>IF(AND('Mapa final'!$AB$44="Media",'Mapa final'!$AD$44="Leve"),CONCATENATE("R7C",'Mapa final'!$R$44),"")</f>
        <v/>
      </c>
      <c r="N32" s="67" t="str">
        <f>IF(AND('Mapa final'!$AB$45="Media",'Mapa final'!$AD$45="Leve"),CONCATENATE("R7C",'Mapa final'!$R$45),"")</f>
        <v/>
      </c>
      <c r="O32" s="68" t="str">
        <f>IF(AND('Mapa final'!$AB$46="Media",'Mapa final'!$AD$46="Leve"),CONCATENATE("R7C",'Mapa final'!$R$46),"")</f>
        <v/>
      </c>
      <c r="P32" s="66" t="str">
        <f>IF(AND('Mapa final'!$AB$41="Media",'Mapa final'!$AD$41="Menor"),CONCATENATE("R7C",'Mapa final'!$R$41),"")</f>
        <v/>
      </c>
      <c r="Q32" s="67" t="str">
        <f>IF(AND('Mapa final'!$AB$42="Media",'Mapa final'!$AD$42="Menor"),CONCATENATE("R7C",'Mapa final'!$R$42),"")</f>
        <v/>
      </c>
      <c r="R32" s="67" t="str">
        <f>IF(AND('Mapa final'!$AB$43="Media",'Mapa final'!$AD$43="Menor"),CONCATENATE("R7C",'Mapa final'!$R$43),"")</f>
        <v/>
      </c>
      <c r="S32" s="67" t="str">
        <f>IF(AND('Mapa final'!$AB$44="Media",'Mapa final'!$AD$44="Menor"),CONCATENATE("R7C",'Mapa final'!$R$44),"")</f>
        <v/>
      </c>
      <c r="T32" s="67" t="str">
        <f>IF(AND('Mapa final'!$AB$45="Media",'Mapa final'!$AD$45="Menor"),CONCATENATE("R7C",'Mapa final'!$R$45),"")</f>
        <v/>
      </c>
      <c r="U32" s="68" t="str">
        <f>IF(AND('Mapa final'!$AB$46="Media",'Mapa final'!$AD$46="Menor"),CONCATENATE("R7C",'Mapa final'!$R$46),"")</f>
        <v/>
      </c>
      <c r="V32" s="66" t="str">
        <f>IF(AND('Mapa final'!$AB$41="Media",'Mapa final'!$AD$41="Moderado"),CONCATENATE("R7C",'Mapa final'!$R$41),"")</f>
        <v/>
      </c>
      <c r="W32" s="67" t="str">
        <f>IF(AND('Mapa final'!$AB$42="Media",'Mapa final'!$AD$42="Moderado"),CONCATENATE("R7C",'Mapa final'!$R$42),"")</f>
        <v/>
      </c>
      <c r="X32" s="67" t="str">
        <f>IF(AND('Mapa final'!$AB$43="Media",'Mapa final'!$AD$43="Moderado"),CONCATENATE("R7C",'Mapa final'!$R$43),"")</f>
        <v/>
      </c>
      <c r="Y32" s="67" t="str">
        <f>IF(AND('Mapa final'!$AB$44="Media",'Mapa final'!$AD$44="Moderado"),CONCATENATE("R7C",'Mapa final'!$R$44),"")</f>
        <v/>
      </c>
      <c r="Z32" s="67" t="str">
        <f>IF(AND('Mapa final'!$AB$45="Media",'Mapa final'!$AD$45="Moderado"),CONCATENATE("R7C",'Mapa final'!$R$45),"")</f>
        <v/>
      </c>
      <c r="AA32" s="68" t="str">
        <f>IF(AND('Mapa final'!$AB$46="Media",'Mapa final'!$AD$46="Moderado"),CONCATENATE("R7C",'Mapa final'!$R$46),"")</f>
        <v/>
      </c>
      <c r="AB32" s="51" t="str">
        <f>IF(AND('Mapa final'!$AB$41="Media",'Mapa final'!$AD$41="Mayor"),CONCATENATE("R7C",'Mapa final'!$R$41),"")</f>
        <v/>
      </c>
      <c r="AC32" s="52" t="str">
        <f>IF(AND('Mapa final'!$AB$42="Media",'Mapa final'!$AD$42="Mayor"),CONCATENATE("R7C",'Mapa final'!$R$42),"")</f>
        <v/>
      </c>
      <c r="AD32" s="52" t="str">
        <f>IF(AND('Mapa final'!$AB$43="Media",'Mapa final'!$AD$43="Mayor"),CONCATENATE("R7C",'Mapa final'!$R$43),"")</f>
        <v/>
      </c>
      <c r="AE32" s="52" t="str">
        <f>IF(AND('Mapa final'!$AB$44="Media",'Mapa final'!$AD$44="Mayor"),CONCATENATE("R7C",'Mapa final'!$R$44),"")</f>
        <v/>
      </c>
      <c r="AF32" s="52" t="str">
        <f>IF(AND('Mapa final'!$AB$45="Media",'Mapa final'!$AD$45="Mayor"),CONCATENATE("R7C",'Mapa final'!$R$45),"")</f>
        <v/>
      </c>
      <c r="AG32" s="53" t="str">
        <f>IF(AND('Mapa final'!$AB$46="Media",'Mapa final'!$AD$46="Mayor"),CONCATENATE("R7C",'Mapa final'!$R$46),"")</f>
        <v/>
      </c>
      <c r="AH32" s="54" t="str">
        <f>IF(AND('Mapa final'!$AB$41="Media",'Mapa final'!$AD$41="Catastrófico"),CONCATENATE("R7C",'Mapa final'!$R$41),"")</f>
        <v/>
      </c>
      <c r="AI32" s="55" t="str">
        <f>IF(AND('Mapa final'!$AB$42="Media",'Mapa final'!$AD$42="Catastrófico"),CONCATENATE("R7C",'Mapa final'!$R$42),"")</f>
        <v/>
      </c>
      <c r="AJ32" s="55" t="str">
        <f>IF(AND('Mapa final'!$AB$43="Media",'Mapa final'!$AD$43="Catastrófico"),CONCATENATE("R7C",'Mapa final'!$R$43),"")</f>
        <v/>
      </c>
      <c r="AK32" s="55" t="str">
        <f>IF(AND('Mapa final'!$AB$44="Media",'Mapa final'!$AD$44="Catastrófico"),CONCATENATE("R7C",'Mapa final'!$R$44),"")</f>
        <v/>
      </c>
      <c r="AL32" s="55" t="str">
        <f>IF(AND('Mapa final'!$AB$45="Media",'Mapa final'!$AD$45="Catastrófico"),CONCATENATE("R7C",'Mapa final'!$R$45),"")</f>
        <v/>
      </c>
      <c r="AM32" s="56" t="str">
        <f>IF(AND('Mapa final'!$AB$46="Media",'Mapa final'!$AD$46="Catastrófico"),CONCATENATE("R7C",'Mapa final'!$R$46),"")</f>
        <v/>
      </c>
      <c r="AN32" s="82"/>
      <c r="AO32" s="394"/>
      <c r="AP32" s="395"/>
      <c r="AQ32" s="395"/>
      <c r="AR32" s="395"/>
      <c r="AS32" s="395"/>
      <c r="AT32" s="396"/>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266"/>
      <c r="C33" s="266"/>
      <c r="D33" s="267"/>
      <c r="E33" s="365"/>
      <c r="F33" s="364"/>
      <c r="G33" s="364"/>
      <c r="H33" s="364"/>
      <c r="I33" s="380"/>
      <c r="J33" s="66" t="str">
        <f>IF(AND('Mapa final'!$AB$47="Media",'Mapa final'!$AD$47="Leve"),CONCATENATE("R8C",'Mapa final'!$R$47),"")</f>
        <v/>
      </c>
      <c r="K33" s="67" t="str">
        <f>IF(AND('Mapa final'!$AB$48="Media",'Mapa final'!$AD$48="Leve"),CONCATENATE("R8C",'Mapa final'!$R$48),"")</f>
        <v/>
      </c>
      <c r="L33" s="67" t="str">
        <f>IF(AND('Mapa final'!$AB$49="Media",'Mapa final'!$AD$49="Leve"),CONCATENATE("R8C",'Mapa final'!$R$49),"")</f>
        <v/>
      </c>
      <c r="M33" s="67" t="str">
        <f>IF(AND('Mapa final'!$AB$50="Media",'Mapa final'!$AD$50="Leve"),CONCATENATE("R8C",'Mapa final'!$R$50),"")</f>
        <v/>
      </c>
      <c r="N33" s="67" t="str">
        <f>IF(AND('Mapa final'!$AB$51="Media",'Mapa final'!$AD$51="Leve"),CONCATENATE("R8C",'Mapa final'!$R$51),"")</f>
        <v/>
      </c>
      <c r="O33" s="68" t="str">
        <f>IF(AND('Mapa final'!$AB$52="Media",'Mapa final'!$AD$52="Leve"),CONCATENATE("R8C",'Mapa final'!$R$52),"")</f>
        <v/>
      </c>
      <c r="P33" s="66" t="str">
        <f>IF(AND('Mapa final'!$AB$47="Media",'Mapa final'!$AD$47="Menor"),CONCATENATE("R8C",'Mapa final'!$R$47),"")</f>
        <v/>
      </c>
      <c r="Q33" s="67" t="str">
        <f>IF(AND('Mapa final'!$AB$48="Media",'Mapa final'!$AD$48="Menor"),CONCATENATE("R8C",'Mapa final'!$R$48),"")</f>
        <v/>
      </c>
      <c r="R33" s="67" t="str">
        <f>IF(AND('Mapa final'!$AB$49="Media",'Mapa final'!$AD$49="Menor"),CONCATENATE("R8C",'Mapa final'!$R$49),"")</f>
        <v/>
      </c>
      <c r="S33" s="67" t="str">
        <f>IF(AND('Mapa final'!$AB$50="Media",'Mapa final'!$AD$50="Menor"),CONCATENATE("R8C",'Mapa final'!$R$50),"")</f>
        <v/>
      </c>
      <c r="T33" s="67" t="str">
        <f>IF(AND('Mapa final'!$AB$51="Media",'Mapa final'!$AD$51="Menor"),CONCATENATE("R8C",'Mapa final'!$R$51),"")</f>
        <v/>
      </c>
      <c r="U33" s="68" t="str">
        <f>IF(AND('Mapa final'!$AB$52="Media",'Mapa final'!$AD$52="Menor"),CONCATENATE("R8C",'Mapa final'!$R$52),"")</f>
        <v/>
      </c>
      <c r="V33" s="66" t="str">
        <f>IF(AND('Mapa final'!$AB$47="Media",'Mapa final'!$AD$47="Moderado"),CONCATENATE("R8C",'Mapa final'!$R$47),"")</f>
        <v/>
      </c>
      <c r="W33" s="67" t="str">
        <f>IF(AND('Mapa final'!$AB$48="Media",'Mapa final'!$AD$48="Moderado"),CONCATENATE("R8C",'Mapa final'!$R$48),"")</f>
        <v/>
      </c>
      <c r="X33" s="67" t="str">
        <f>IF(AND('Mapa final'!$AB$49="Media",'Mapa final'!$AD$49="Moderado"),CONCATENATE("R8C",'Mapa final'!$R$49),"")</f>
        <v/>
      </c>
      <c r="Y33" s="67" t="str">
        <f>IF(AND('Mapa final'!$AB$50="Media",'Mapa final'!$AD$50="Moderado"),CONCATENATE("R8C",'Mapa final'!$R$50),"")</f>
        <v/>
      </c>
      <c r="Z33" s="67" t="str">
        <f>IF(AND('Mapa final'!$AB$51="Media",'Mapa final'!$AD$51="Moderado"),CONCATENATE("R8C",'Mapa final'!$R$51),"")</f>
        <v/>
      </c>
      <c r="AA33" s="68" t="str">
        <f>IF(AND('Mapa final'!$AB$52="Media",'Mapa final'!$AD$52="Moderado"),CONCATENATE("R8C",'Mapa final'!$R$52),"")</f>
        <v/>
      </c>
      <c r="AB33" s="51" t="str">
        <f>IF(AND('Mapa final'!$AB$47="Media",'Mapa final'!$AD$47="Mayor"),CONCATENATE("R8C",'Mapa final'!$R$47),"")</f>
        <v/>
      </c>
      <c r="AC33" s="52" t="str">
        <f>IF(AND('Mapa final'!$AB$48="Media",'Mapa final'!$AD$48="Mayor"),CONCATENATE("R8C",'Mapa final'!$R$48),"")</f>
        <v/>
      </c>
      <c r="AD33" s="52" t="str">
        <f>IF(AND('Mapa final'!$AB$49="Media",'Mapa final'!$AD$49="Mayor"),CONCATENATE("R8C",'Mapa final'!$R$49),"")</f>
        <v/>
      </c>
      <c r="AE33" s="52" t="str">
        <f>IF(AND('Mapa final'!$AB$50="Media",'Mapa final'!$AD$50="Mayor"),CONCATENATE("R8C",'Mapa final'!$R$50),"")</f>
        <v/>
      </c>
      <c r="AF33" s="52" t="str">
        <f>IF(AND('Mapa final'!$AB$51="Media",'Mapa final'!$AD$51="Mayor"),CONCATENATE("R8C",'Mapa final'!$R$51),"")</f>
        <v/>
      </c>
      <c r="AG33" s="53" t="str">
        <f>IF(AND('Mapa final'!$AB$52="Media",'Mapa final'!$AD$52="Mayor"),CONCATENATE("R8C",'Mapa final'!$R$52),"")</f>
        <v/>
      </c>
      <c r="AH33" s="54" t="str">
        <f>IF(AND('Mapa final'!$AB$47="Media",'Mapa final'!$AD$47="Catastrófico"),CONCATENATE("R8C",'Mapa final'!$R$47),"")</f>
        <v/>
      </c>
      <c r="AI33" s="55" t="str">
        <f>IF(AND('Mapa final'!$AB$48="Media",'Mapa final'!$AD$48="Catastrófico"),CONCATENATE("R8C",'Mapa final'!$R$48),"")</f>
        <v/>
      </c>
      <c r="AJ33" s="55" t="str">
        <f>IF(AND('Mapa final'!$AB$49="Media",'Mapa final'!$AD$49="Catastrófico"),CONCATENATE("R8C",'Mapa final'!$R$49),"")</f>
        <v/>
      </c>
      <c r="AK33" s="55" t="str">
        <f>IF(AND('Mapa final'!$AB$50="Media",'Mapa final'!$AD$50="Catastrófico"),CONCATENATE("R8C",'Mapa final'!$R$50),"")</f>
        <v/>
      </c>
      <c r="AL33" s="55" t="str">
        <f>IF(AND('Mapa final'!$AB$51="Media",'Mapa final'!$AD$51="Catastrófico"),CONCATENATE("R8C",'Mapa final'!$R$51),"")</f>
        <v/>
      </c>
      <c r="AM33" s="56" t="str">
        <f>IF(AND('Mapa final'!$AB$52="Media",'Mapa final'!$AD$52="Catastrófico"),CONCATENATE("R8C",'Mapa final'!$R$52),"")</f>
        <v/>
      </c>
      <c r="AN33" s="82"/>
      <c r="AO33" s="394"/>
      <c r="AP33" s="395"/>
      <c r="AQ33" s="395"/>
      <c r="AR33" s="395"/>
      <c r="AS33" s="395"/>
      <c r="AT33" s="396"/>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266"/>
      <c r="C34" s="266"/>
      <c r="D34" s="267"/>
      <c r="E34" s="365"/>
      <c r="F34" s="364"/>
      <c r="G34" s="364"/>
      <c r="H34" s="364"/>
      <c r="I34" s="380"/>
      <c r="J34" s="66" t="str">
        <f>IF(AND('Mapa final'!$AB$53="Media",'Mapa final'!$AD$53="Leve"),CONCATENATE("R9C",'Mapa final'!$R$53),"")</f>
        <v/>
      </c>
      <c r="K34" s="67" t="str">
        <f>IF(AND('Mapa final'!$AB$54="Media",'Mapa final'!$AD$54="Leve"),CONCATENATE("R9C",'Mapa final'!$R$54),"")</f>
        <v/>
      </c>
      <c r="L34" s="67" t="str">
        <f>IF(AND('Mapa final'!$AB$55="Media",'Mapa final'!$AD$55="Leve"),CONCATENATE("R9C",'Mapa final'!$R$55),"")</f>
        <v/>
      </c>
      <c r="M34" s="67" t="str">
        <f>IF(AND('Mapa final'!$AB$56="Media",'Mapa final'!$AD$56="Leve"),CONCATENATE("R9C",'Mapa final'!$R$56),"")</f>
        <v/>
      </c>
      <c r="N34" s="67" t="str">
        <f>IF(AND('Mapa final'!$AB$57="Media",'Mapa final'!$AD$57="Leve"),CONCATENATE("R9C",'Mapa final'!$R$57),"")</f>
        <v/>
      </c>
      <c r="O34" s="68" t="str">
        <f>IF(AND('Mapa final'!$AB$58="Media",'Mapa final'!$AD$58="Leve"),CONCATENATE("R9C",'Mapa final'!$R$58),"")</f>
        <v/>
      </c>
      <c r="P34" s="66" t="str">
        <f>IF(AND('Mapa final'!$AB$53="Media",'Mapa final'!$AD$53="Menor"),CONCATENATE("R9C",'Mapa final'!$R$53),"")</f>
        <v/>
      </c>
      <c r="Q34" s="67" t="str">
        <f>IF(AND('Mapa final'!$AB$54="Media",'Mapa final'!$AD$54="Menor"),CONCATENATE("R9C",'Mapa final'!$R$54),"")</f>
        <v/>
      </c>
      <c r="R34" s="67" t="str">
        <f>IF(AND('Mapa final'!$AB$55="Media",'Mapa final'!$AD$55="Menor"),CONCATENATE("R9C",'Mapa final'!$R$55),"")</f>
        <v/>
      </c>
      <c r="S34" s="67" t="str">
        <f>IF(AND('Mapa final'!$AB$56="Media",'Mapa final'!$AD$56="Menor"),CONCATENATE("R9C",'Mapa final'!$R$56),"")</f>
        <v/>
      </c>
      <c r="T34" s="67" t="str">
        <f>IF(AND('Mapa final'!$AB$57="Media",'Mapa final'!$AD$57="Menor"),CONCATENATE("R9C",'Mapa final'!$R$57),"")</f>
        <v/>
      </c>
      <c r="U34" s="68" t="str">
        <f>IF(AND('Mapa final'!$AB$58="Media",'Mapa final'!$AD$58="Menor"),CONCATENATE("R9C",'Mapa final'!$R$58),"")</f>
        <v/>
      </c>
      <c r="V34" s="66" t="str">
        <f>IF(AND('Mapa final'!$AB$53="Media",'Mapa final'!$AD$53="Moderado"),CONCATENATE("R9C",'Mapa final'!$R$53),"")</f>
        <v/>
      </c>
      <c r="W34" s="67" t="str">
        <f>IF(AND('Mapa final'!$AB$54="Media",'Mapa final'!$AD$54="Moderado"),CONCATENATE("R9C",'Mapa final'!$R$54),"")</f>
        <v/>
      </c>
      <c r="X34" s="67" t="str">
        <f>IF(AND('Mapa final'!$AB$55="Media",'Mapa final'!$AD$55="Moderado"),CONCATENATE("R9C",'Mapa final'!$R$55),"")</f>
        <v/>
      </c>
      <c r="Y34" s="67" t="str">
        <f>IF(AND('Mapa final'!$AB$56="Media",'Mapa final'!$AD$56="Moderado"),CONCATENATE("R9C",'Mapa final'!$R$56),"")</f>
        <v/>
      </c>
      <c r="Z34" s="67" t="str">
        <f>IF(AND('Mapa final'!$AB$57="Media",'Mapa final'!$AD$57="Moderado"),CONCATENATE("R9C",'Mapa final'!$R$57),"")</f>
        <v/>
      </c>
      <c r="AA34" s="68" t="str">
        <f>IF(AND('Mapa final'!$AB$58="Media",'Mapa final'!$AD$58="Moderado"),CONCATENATE("R9C",'Mapa final'!$R$58),"")</f>
        <v/>
      </c>
      <c r="AB34" s="51" t="str">
        <f>IF(AND('Mapa final'!$AB$53="Media",'Mapa final'!$AD$53="Mayor"),CONCATENATE("R9C",'Mapa final'!$R$53),"")</f>
        <v/>
      </c>
      <c r="AC34" s="52" t="str">
        <f>IF(AND('Mapa final'!$AB$54="Media",'Mapa final'!$AD$54="Mayor"),CONCATENATE("R9C",'Mapa final'!$R$54),"")</f>
        <v/>
      </c>
      <c r="AD34" s="52" t="str">
        <f>IF(AND('Mapa final'!$AB$55="Media",'Mapa final'!$AD$55="Mayor"),CONCATENATE("R9C",'Mapa final'!$R$55),"")</f>
        <v/>
      </c>
      <c r="AE34" s="52" t="str">
        <f>IF(AND('Mapa final'!$AB$56="Media",'Mapa final'!$AD$56="Mayor"),CONCATENATE("R9C",'Mapa final'!$R$56),"")</f>
        <v/>
      </c>
      <c r="AF34" s="52" t="str">
        <f>IF(AND('Mapa final'!$AB$57="Media",'Mapa final'!$AD$57="Mayor"),CONCATENATE("R9C",'Mapa final'!$R$57),"")</f>
        <v/>
      </c>
      <c r="AG34" s="53" t="str">
        <f>IF(AND('Mapa final'!$AB$58="Media",'Mapa final'!$AD$58="Mayor"),CONCATENATE("R9C",'Mapa final'!$R$58),"")</f>
        <v/>
      </c>
      <c r="AH34" s="54" t="str">
        <f>IF(AND('Mapa final'!$AB$53="Media",'Mapa final'!$AD$53="Catastrófico"),CONCATENATE("R9C",'Mapa final'!$R$53),"")</f>
        <v/>
      </c>
      <c r="AI34" s="55" t="str">
        <f>IF(AND('Mapa final'!$AB$54="Media",'Mapa final'!$AD$54="Catastrófico"),CONCATENATE("R9C",'Mapa final'!$R$54),"")</f>
        <v/>
      </c>
      <c r="AJ34" s="55" t="str">
        <f>IF(AND('Mapa final'!$AB$55="Media",'Mapa final'!$AD$55="Catastrófico"),CONCATENATE("R9C",'Mapa final'!$R$55),"")</f>
        <v/>
      </c>
      <c r="AK34" s="55" t="str">
        <f>IF(AND('Mapa final'!$AB$56="Media",'Mapa final'!$AD$56="Catastrófico"),CONCATENATE("R9C",'Mapa final'!$R$56),"")</f>
        <v/>
      </c>
      <c r="AL34" s="55" t="str">
        <f>IF(AND('Mapa final'!$AB$57="Media",'Mapa final'!$AD$57="Catastrófico"),CONCATENATE("R9C",'Mapa final'!$R$57),"")</f>
        <v/>
      </c>
      <c r="AM34" s="56" t="str">
        <f>IF(AND('Mapa final'!$AB$58="Media",'Mapa final'!$AD$58="Catastrófico"),CONCATENATE("R9C",'Mapa final'!$R$58),"")</f>
        <v/>
      </c>
      <c r="AN34" s="82"/>
      <c r="AO34" s="394"/>
      <c r="AP34" s="395"/>
      <c r="AQ34" s="395"/>
      <c r="AR34" s="395"/>
      <c r="AS34" s="395"/>
      <c r="AT34" s="396"/>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266"/>
      <c r="C35" s="266"/>
      <c r="D35" s="267"/>
      <c r="E35" s="366"/>
      <c r="F35" s="367"/>
      <c r="G35" s="367"/>
      <c r="H35" s="367"/>
      <c r="I35" s="381"/>
      <c r="J35" s="66" t="str">
        <f>IF(AND('Mapa final'!$AB$59="Media",'Mapa final'!$AD$59="Leve"),CONCATENATE("R10C",'Mapa final'!$R$59),"")</f>
        <v/>
      </c>
      <c r="K35" s="67" t="str">
        <f>IF(AND('Mapa final'!$AB$60="Media",'Mapa final'!$AD$60="Leve"),CONCATENATE("R10C",'Mapa final'!$R$60),"")</f>
        <v/>
      </c>
      <c r="L35" s="67" t="str">
        <f>IF(AND('Mapa final'!$AB$61="Media",'Mapa final'!$AD$61="Leve"),CONCATENATE("R10C",'Mapa final'!$R$61),"")</f>
        <v/>
      </c>
      <c r="M35" s="67" t="str">
        <f>IF(AND('Mapa final'!$AB$62="Media",'Mapa final'!$AD$62="Leve"),CONCATENATE("R10C",'Mapa final'!$R$62),"")</f>
        <v/>
      </c>
      <c r="N35" s="67" t="str">
        <f>IF(AND('Mapa final'!$AB$63="Media",'Mapa final'!$AD$63="Leve"),CONCATENATE("R10C",'Mapa final'!$R$63),"")</f>
        <v/>
      </c>
      <c r="O35" s="68" t="str">
        <f>IF(AND('Mapa final'!$AB$64="Media",'Mapa final'!$AD$64="Leve"),CONCATENATE("R10C",'Mapa final'!$R$64),"")</f>
        <v/>
      </c>
      <c r="P35" s="66" t="str">
        <f>IF(AND('Mapa final'!$AB$59="Media",'Mapa final'!$AD$59="Menor"),CONCATENATE("R10C",'Mapa final'!$R$59),"")</f>
        <v/>
      </c>
      <c r="Q35" s="67" t="str">
        <f>IF(AND('Mapa final'!$AB$60="Media",'Mapa final'!$AD$60="Menor"),CONCATENATE("R10C",'Mapa final'!$R$60),"")</f>
        <v/>
      </c>
      <c r="R35" s="67" t="str">
        <f>IF(AND('Mapa final'!$AB$61="Media",'Mapa final'!$AD$61="Menor"),CONCATENATE("R10C",'Mapa final'!$R$61),"")</f>
        <v/>
      </c>
      <c r="S35" s="67" t="str">
        <f>IF(AND('Mapa final'!$AB$62="Media",'Mapa final'!$AD$62="Menor"),CONCATENATE("R10C",'Mapa final'!$R$62),"")</f>
        <v/>
      </c>
      <c r="T35" s="67" t="str">
        <f>IF(AND('Mapa final'!$AB$63="Media",'Mapa final'!$AD$63="Menor"),CONCATENATE("R10C",'Mapa final'!$R$63),"")</f>
        <v/>
      </c>
      <c r="U35" s="68" t="str">
        <f>IF(AND('Mapa final'!$AB$64="Media",'Mapa final'!$AD$64="Menor"),CONCATENATE("R10C",'Mapa final'!$R$64),"")</f>
        <v/>
      </c>
      <c r="V35" s="66" t="str">
        <f>IF(AND('Mapa final'!$AB$59="Media",'Mapa final'!$AD$59="Moderado"),CONCATENATE("R10C",'Mapa final'!$R$59),"")</f>
        <v/>
      </c>
      <c r="W35" s="67" t="str">
        <f>IF(AND('Mapa final'!$AB$60="Media",'Mapa final'!$AD$60="Moderado"),CONCATENATE("R10C",'Mapa final'!$R$60),"")</f>
        <v/>
      </c>
      <c r="X35" s="67" t="str">
        <f>IF(AND('Mapa final'!$AB$61="Media",'Mapa final'!$AD$61="Moderado"),CONCATENATE("R10C",'Mapa final'!$R$61),"")</f>
        <v/>
      </c>
      <c r="Y35" s="67" t="str">
        <f>IF(AND('Mapa final'!$AB$62="Media",'Mapa final'!$AD$62="Moderado"),CONCATENATE("R10C",'Mapa final'!$R$62),"")</f>
        <v/>
      </c>
      <c r="Z35" s="67" t="str">
        <f>IF(AND('Mapa final'!$AB$63="Media",'Mapa final'!$AD$63="Moderado"),CONCATENATE("R10C",'Mapa final'!$R$63),"")</f>
        <v/>
      </c>
      <c r="AA35" s="68" t="str">
        <f>IF(AND('Mapa final'!$AB$64="Media",'Mapa final'!$AD$64="Moderado"),CONCATENATE("R10C",'Mapa final'!$R$64),"")</f>
        <v/>
      </c>
      <c r="AB35" s="57" t="str">
        <f>IF(AND('Mapa final'!$AB$59="Media",'Mapa final'!$AD$59="Mayor"),CONCATENATE("R10C",'Mapa final'!$R$59),"")</f>
        <v/>
      </c>
      <c r="AC35" s="58" t="str">
        <f>IF(AND('Mapa final'!$AB$60="Media",'Mapa final'!$AD$60="Mayor"),CONCATENATE("R10C",'Mapa final'!$R$60),"")</f>
        <v/>
      </c>
      <c r="AD35" s="58" t="str">
        <f>IF(AND('Mapa final'!$AB$61="Media",'Mapa final'!$AD$61="Mayor"),CONCATENATE("R10C",'Mapa final'!$R$61),"")</f>
        <v/>
      </c>
      <c r="AE35" s="58" t="str">
        <f>IF(AND('Mapa final'!$AB$62="Media",'Mapa final'!$AD$62="Mayor"),CONCATENATE("R10C",'Mapa final'!$R$62),"")</f>
        <v/>
      </c>
      <c r="AF35" s="58" t="str">
        <f>IF(AND('Mapa final'!$AB$63="Media",'Mapa final'!$AD$63="Mayor"),CONCATENATE("R10C",'Mapa final'!$R$63),"")</f>
        <v/>
      </c>
      <c r="AG35" s="59" t="str">
        <f>IF(AND('Mapa final'!$AB$64="Media",'Mapa final'!$AD$64="Mayor"),CONCATENATE("R10C",'Mapa final'!$R$64),"")</f>
        <v/>
      </c>
      <c r="AH35" s="60" t="str">
        <f>IF(AND('Mapa final'!$AB$59="Media",'Mapa final'!$AD$59="Catastrófico"),CONCATENATE("R10C",'Mapa final'!$R$59),"")</f>
        <v/>
      </c>
      <c r="AI35" s="61" t="str">
        <f>IF(AND('Mapa final'!$AB$60="Media",'Mapa final'!$AD$60="Catastrófico"),CONCATENATE("R10C",'Mapa final'!$R$60),"")</f>
        <v/>
      </c>
      <c r="AJ35" s="61" t="str">
        <f>IF(AND('Mapa final'!$AB$61="Media",'Mapa final'!$AD$61="Catastrófico"),CONCATENATE("R10C",'Mapa final'!$R$61),"")</f>
        <v/>
      </c>
      <c r="AK35" s="61" t="str">
        <f>IF(AND('Mapa final'!$AB$62="Media",'Mapa final'!$AD$62="Catastrófico"),CONCATENATE("R10C",'Mapa final'!$R$62),"")</f>
        <v/>
      </c>
      <c r="AL35" s="61" t="str">
        <f>IF(AND('Mapa final'!$AB$63="Media",'Mapa final'!$AD$63="Catastrófico"),CONCATENATE("R10C",'Mapa final'!$R$63),"")</f>
        <v/>
      </c>
      <c r="AM35" s="62" t="str">
        <f>IF(AND('Mapa final'!$AB$64="Media",'Mapa final'!$AD$64="Catastrófico"),CONCATENATE("R10C",'Mapa final'!$R$64),"")</f>
        <v/>
      </c>
      <c r="AN35" s="82"/>
      <c r="AO35" s="397"/>
      <c r="AP35" s="398"/>
      <c r="AQ35" s="398"/>
      <c r="AR35" s="398"/>
      <c r="AS35" s="398"/>
      <c r="AT35" s="39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266"/>
      <c r="C36" s="266"/>
      <c r="D36" s="267"/>
      <c r="E36" s="361" t="s">
        <v>106</v>
      </c>
      <c r="F36" s="362"/>
      <c r="G36" s="362"/>
      <c r="H36" s="362"/>
      <c r="I36" s="362"/>
      <c r="J36" s="72" t="str">
        <f ca="1">IF(AND('Mapa final'!$AB$11="Baja",'Mapa final'!$AD$11="Leve"),CONCATENATE("R1C",'Mapa final'!$R$11),"")</f>
        <v/>
      </c>
      <c r="K36" s="73" t="str">
        <f ca="1">IF(AND('Mapa final'!$AB$12="Baja",'Mapa final'!$AD$12="Leve"),CONCATENATE("R1C",'Mapa final'!$R$12),"")</f>
        <v/>
      </c>
      <c r="L36" s="73" t="str">
        <f>IF(AND('Mapa final'!$AB$13="Baja",'Mapa final'!$AD$13="Leve"),CONCATENATE("R1C",'Mapa final'!$R$13),"")</f>
        <v/>
      </c>
      <c r="M36" s="73" t="str">
        <f>IF(AND('Mapa final'!$AB$14="Baja",'Mapa final'!$AD$14="Leve"),CONCATENATE("R1C",'Mapa final'!$R$14),"")</f>
        <v/>
      </c>
      <c r="N36" s="73" t="str">
        <f>IF(AND('Mapa final'!$AB$15="Baja",'Mapa final'!$AD$15="Leve"),CONCATENATE("R1C",'Mapa final'!$R$15),"")</f>
        <v/>
      </c>
      <c r="O36" s="74" t="str">
        <f>IF(AND('Mapa final'!$AB$16="Baja",'Mapa final'!$AD$16="Leve"),CONCATENATE("R1C",'Mapa final'!$R$16),"")</f>
        <v/>
      </c>
      <c r="P36" s="63" t="str">
        <f ca="1">IF(AND('Mapa final'!$AB$11="Baja",'Mapa final'!$AD$11="Menor"),CONCATENATE("R1C",'Mapa final'!$R$11),"")</f>
        <v/>
      </c>
      <c r="Q36" s="64" t="str">
        <f ca="1">IF(AND('Mapa final'!$AB$12="Baja",'Mapa final'!$AD$12="Menor"),CONCATENATE("R1C",'Mapa final'!$R$12),"")</f>
        <v/>
      </c>
      <c r="R36" s="64" t="str">
        <f>IF(AND('Mapa final'!$AB$13="Baja",'Mapa final'!$AD$13="Menor"),CONCATENATE("R1C",'Mapa final'!$R$13),"")</f>
        <v/>
      </c>
      <c r="S36" s="64" t="str">
        <f>IF(AND('Mapa final'!$AB$14="Baja",'Mapa final'!$AD$14="Menor"),CONCATENATE("R1C",'Mapa final'!$R$14),"")</f>
        <v/>
      </c>
      <c r="T36" s="64" t="str">
        <f>IF(AND('Mapa final'!$AB$15="Baja",'Mapa final'!$AD$15="Menor"),CONCATENATE("R1C",'Mapa final'!$R$15),"")</f>
        <v/>
      </c>
      <c r="U36" s="65" t="str">
        <f>IF(AND('Mapa final'!$AB$16="Baja",'Mapa final'!$AD$16="Menor"),CONCATENATE("R1C",'Mapa final'!$R$16),"")</f>
        <v/>
      </c>
      <c r="V36" s="63" t="str">
        <f ca="1">IF(AND('Mapa final'!$AB$11="Baja",'Mapa final'!$AD$11="Moderado"),CONCATENATE("R1C",'Mapa final'!$R$11),"")</f>
        <v/>
      </c>
      <c r="W36" s="64" t="str">
        <f ca="1">IF(AND('Mapa final'!$AB$12="Baja",'Mapa final'!$AD$12="Moderado"),CONCATENATE("R1C",'Mapa final'!$R$12),"")</f>
        <v/>
      </c>
      <c r="X36" s="64" t="str">
        <f>IF(AND('Mapa final'!$AB$13="Baja",'Mapa final'!$AD$13="Moderado"),CONCATENATE("R1C",'Mapa final'!$R$13),"")</f>
        <v/>
      </c>
      <c r="Y36" s="64" t="str">
        <f>IF(AND('Mapa final'!$AB$14="Baja",'Mapa final'!$AD$14="Moderado"),CONCATENATE("R1C",'Mapa final'!$R$14),"")</f>
        <v/>
      </c>
      <c r="Z36" s="64" t="str">
        <f>IF(AND('Mapa final'!$AB$15="Baja",'Mapa final'!$AD$15="Moderado"),CONCATENATE("R1C",'Mapa final'!$R$15),"")</f>
        <v/>
      </c>
      <c r="AA36" s="65" t="str">
        <f>IF(AND('Mapa final'!$AB$16="Baja",'Mapa final'!$AD$16="Moderado"),CONCATENATE("R1C",'Mapa final'!$R$16),"")</f>
        <v/>
      </c>
      <c r="AB36" s="45" t="str">
        <f ca="1">IF(AND('Mapa final'!$AB$11="Baja",'Mapa final'!$AD$11="Mayor"),CONCATENATE("R1C",'Mapa final'!$R$11),"")</f>
        <v/>
      </c>
      <c r="AC36" s="46" t="str">
        <f ca="1">IF(AND('Mapa final'!$AB$12="Baja",'Mapa final'!$AD$12="Mayor"),CONCATENATE("R1C",'Mapa final'!$R$12),"")</f>
        <v/>
      </c>
      <c r="AD36" s="46" t="str">
        <f>IF(AND('Mapa final'!$AB$13="Baja",'Mapa final'!$AD$13="Mayor"),CONCATENATE("R1C",'Mapa final'!$R$13),"")</f>
        <v/>
      </c>
      <c r="AE36" s="46" t="str">
        <f>IF(AND('Mapa final'!$AB$14="Baja",'Mapa final'!$AD$14="Mayor"),CONCATENATE("R1C",'Mapa final'!$R$14),"")</f>
        <v/>
      </c>
      <c r="AF36" s="46" t="str">
        <f>IF(AND('Mapa final'!$AB$15="Baja",'Mapa final'!$AD$15="Mayor"),CONCATENATE("R1C",'Mapa final'!$R$15),"")</f>
        <v/>
      </c>
      <c r="AG36" s="47" t="str">
        <f>IF(AND('Mapa final'!$AB$16="Baja",'Mapa final'!$AD$16="Mayor"),CONCATENATE("R1C",'Mapa final'!$R$16),"")</f>
        <v/>
      </c>
      <c r="AH36" s="48" t="str">
        <f ca="1">IF(AND('Mapa final'!$AB$11="Baja",'Mapa final'!$AD$11="Catastrófico"),CONCATENATE("R1C",'Mapa final'!$R$11),"")</f>
        <v/>
      </c>
      <c r="AI36" s="49" t="str">
        <f ca="1">IF(AND('Mapa final'!$AB$12="Baja",'Mapa final'!$AD$12="Catastrófico"),CONCATENATE("R1C",'Mapa final'!$R$12),"")</f>
        <v/>
      </c>
      <c r="AJ36" s="49" t="str">
        <f>IF(AND('Mapa final'!$AB$13="Baja",'Mapa final'!$AD$13="Catastrófico"),CONCATENATE("R1C",'Mapa final'!$R$13),"")</f>
        <v/>
      </c>
      <c r="AK36" s="49" t="str">
        <f>IF(AND('Mapa final'!$AB$14="Baja",'Mapa final'!$AD$14="Catastrófico"),CONCATENATE("R1C",'Mapa final'!$R$14),"")</f>
        <v/>
      </c>
      <c r="AL36" s="49" t="str">
        <f>IF(AND('Mapa final'!$AB$15="Baja",'Mapa final'!$AD$15="Catastrófico"),CONCATENATE("R1C",'Mapa final'!$R$15),"")</f>
        <v/>
      </c>
      <c r="AM36" s="50" t="str">
        <f>IF(AND('Mapa final'!$AB$16="Baja",'Mapa final'!$AD$16="Catastrófico"),CONCATENATE("R1C",'Mapa final'!$R$16),"")</f>
        <v/>
      </c>
      <c r="AN36" s="82"/>
      <c r="AO36" s="382" t="s">
        <v>79</v>
      </c>
      <c r="AP36" s="383"/>
      <c r="AQ36" s="383"/>
      <c r="AR36" s="383"/>
      <c r="AS36" s="383"/>
      <c r="AT36" s="384"/>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266"/>
      <c r="C37" s="266"/>
      <c r="D37" s="267"/>
      <c r="E37" s="363"/>
      <c r="F37" s="364"/>
      <c r="G37" s="364"/>
      <c r="H37" s="364"/>
      <c r="I37" s="364"/>
      <c r="J37" s="75" t="str">
        <f ca="1">IF(AND('Mapa final'!$AB$17="Baja",'Mapa final'!$AD$17="Leve"),CONCATENATE("R2C",'Mapa final'!$R$17),"")</f>
        <v/>
      </c>
      <c r="K37" s="76" t="str">
        <f>IF(AND('Mapa final'!$AB$18="Baja",'Mapa final'!$AD$18="Leve"),CONCATENATE("R2C",'Mapa final'!$R$18),"")</f>
        <v/>
      </c>
      <c r="L37" s="76" t="str">
        <f>IF(AND('Mapa final'!$AB$19="Baja",'Mapa final'!$AD$19="Leve"),CONCATENATE("R2C",'Mapa final'!$R$19),"")</f>
        <v/>
      </c>
      <c r="M37" s="76" t="str">
        <f>IF(AND('Mapa final'!$AB$20="Baja",'Mapa final'!$AD$20="Leve"),CONCATENATE("R2C",'Mapa final'!$R$20),"")</f>
        <v/>
      </c>
      <c r="N37" s="76" t="str">
        <f>IF(AND('Mapa final'!$AB$21="Baja",'Mapa final'!$AD$21="Leve"),CONCATENATE("R2C",'Mapa final'!$R$21),"")</f>
        <v/>
      </c>
      <c r="O37" s="77" t="str">
        <f>IF(AND('Mapa final'!$AB$22="Baja",'Mapa final'!$AD$22="Leve"),CONCATENATE("R2C",'Mapa final'!$R$22),"")</f>
        <v/>
      </c>
      <c r="P37" s="66" t="str">
        <f ca="1">IF(AND('Mapa final'!$AB$17="Baja",'Mapa final'!$AD$17="Menor"),CONCATENATE("R2C",'Mapa final'!$R$17),"")</f>
        <v/>
      </c>
      <c r="Q37" s="67" t="str">
        <f>IF(AND('Mapa final'!$AB$18="Baja",'Mapa final'!$AD$18="Menor"),CONCATENATE("R2C",'Mapa final'!$R$18),"")</f>
        <v/>
      </c>
      <c r="R37" s="67" t="str">
        <f>IF(AND('Mapa final'!$AB$19="Baja",'Mapa final'!$AD$19="Menor"),CONCATENATE("R2C",'Mapa final'!$R$19),"")</f>
        <v/>
      </c>
      <c r="S37" s="67" t="str">
        <f>IF(AND('Mapa final'!$AB$20="Baja",'Mapa final'!$AD$20="Menor"),CONCATENATE("R2C",'Mapa final'!$R$20),"")</f>
        <v/>
      </c>
      <c r="T37" s="67" t="str">
        <f>IF(AND('Mapa final'!$AB$21="Baja",'Mapa final'!$AD$21="Menor"),CONCATENATE("R2C",'Mapa final'!$R$21),"")</f>
        <v/>
      </c>
      <c r="U37" s="68" t="str">
        <f>IF(AND('Mapa final'!$AB$22="Baja",'Mapa final'!$AD$22="Menor"),CONCATENATE("R2C",'Mapa final'!$R$22),"")</f>
        <v/>
      </c>
      <c r="V37" s="66" t="str">
        <f ca="1">IF(AND('Mapa final'!$AB$17="Baja",'Mapa final'!$AD$17="Moderado"),CONCATENATE("R2C",'Mapa final'!$R$17),"")</f>
        <v/>
      </c>
      <c r="W37" s="67" t="str">
        <f>IF(AND('Mapa final'!$AB$18="Baja",'Mapa final'!$AD$18="Moderado"),CONCATENATE("R2C",'Mapa final'!$R$18),"")</f>
        <v/>
      </c>
      <c r="X37" s="67" t="str">
        <f>IF(AND('Mapa final'!$AB$19="Baja",'Mapa final'!$AD$19="Moderado"),CONCATENATE("R2C",'Mapa final'!$R$19),"")</f>
        <v/>
      </c>
      <c r="Y37" s="67" t="str">
        <f>IF(AND('Mapa final'!$AB$20="Baja",'Mapa final'!$AD$20="Moderado"),CONCATENATE("R2C",'Mapa final'!$R$20),"")</f>
        <v/>
      </c>
      <c r="Z37" s="67" t="str">
        <f>IF(AND('Mapa final'!$AB$21="Baja",'Mapa final'!$AD$21="Moderado"),CONCATENATE("R2C",'Mapa final'!$R$21),"")</f>
        <v/>
      </c>
      <c r="AA37" s="68" t="str">
        <f>IF(AND('Mapa final'!$AB$22="Baja",'Mapa final'!$AD$22="Moderado"),CONCATENATE("R2C",'Mapa final'!$R$22),"")</f>
        <v/>
      </c>
      <c r="AB37" s="51" t="str">
        <f ca="1">IF(AND('Mapa final'!$AB$17="Baja",'Mapa final'!$AD$17="Mayor"),CONCATENATE("R2C",'Mapa final'!$R$17),"")</f>
        <v/>
      </c>
      <c r="AC37" s="52" t="str">
        <f>IF(AND('Mapa final'!$AB$18="Baja",'Mapa final'!$AD$18="Mayor"),CONCATENATE("R2C",'Mapa final'!$R$18),"")</f>
        <v/>
      </c>
      <c r="AD37" s="52" t="str">
        <f>IF(AND('Mapa final'!$AB$19="Baja",'Mapa final'!$AD$19="Mayor"),CONCATENATE("R2C",'Mapa final'!$R$19),"")</f>
        <v/>
      </c>
      <c r="AE37" s="52" t="str">
        <f>IF(AND('Mapa final'!$AB$20="Baja",'Mapa final'!$AD$20="Mayor"),CONCATENATE("R2C",'Mapa final'!$R$20),"")</f>
        <v/>
      </c>
      <c r="AF37" s="52" t="str">
        <f>IF(AND('Mapa final'!$AB$21="Baja",'Mapa final'!$AD$21="Mayor"),CONCATENATE("R2C",'Mapa final'!$R$21),"")</f>
        <v/>
      </c>
      <c r="AG37" s="53" t="str">
        <f>IF(AND('Mapa final'!$AB$22="Baja",'Mapa final'!$AD$22="Mayor"),CONCATENATE("R2C",'Mapa final'!$R$22),"")</f>
        <v/>
      </c>
      <c r="AH37" s="54" t="str">
        <f ca="1">IF(AND('Mapa final'!$AB$17="Baja",'Mapa final'!$AD$17="Catastrófico"),CONCATENATE("R2C",'Mapa final'!$R$17),"")</f>
        <v/>
      </c>
      <c r="AI37" s="55" t="str">
        <f>IF(AND('Mapa final'!$AB$18="Baja",'Mapa final'!$AD$18="Catastrófico"),CONCATENATE("R2C",'Mapa final'!$R$18),"")</f>
        <v/>
      </c>
      <c r="AJ37" s="55" t="str">
        <f>IF(AND('Mapa final'!$AB$19="Baja",'Mapa final'!$AD$19="Catastrófico"),CONCATENATE("R2C",'Mapa final'!$R$19),"")</f>
        <v/>
      </c>
      <c r="AK37" s="55" t="str">
        <f>IF(AND('Mapa final'!$AB$20="Baja",'Mapa final'!$AD$20="Catastrófico"),CONCATENATE("R2C",'Mapa final'!$R$20),"")</f>
        <v/>
      </c>
      <c r="AL37" s="55" t="str">
        <f>IF(AND('Mapa final'!$AB$21="Baja",'Mapa final'!$AD$21="Catastrófico"),CONCATENATE("R2C",'Mapa final'!$R$21),"")</f>
        <v/>
      </c>
      <c r="AM37" s="56" t="str">
        <f>IF(AND('Mapa final'!$AB$22="Baja",'Mapa final'!$AD$22="Catastrófico"),CONCATENATE("R2C",'Mapa final'!$R$22),"")</f>
        <v/>
      </c>
      <c r="AN37" s="82"/>
      <c r="AO37" s="385"/>
      <c r="AP37" s="386"/>
      <c r="AQ37" s="386"/>
      <c r="AR37" s="386"/>
      <c r="AS37" s="386"/>
      <c r="AT37" s="387"/>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266"/>
      <c r="C38" s="266"/>
      <c r="D38" s="267"/>
      <c r="E38" s="365"/>
      <c r="F38" s="364"/>
      <c r="G38" s="364"/>
      <c r="H38" s="364"/>
      <c r="I38" s="364"/>
      <c r="J38" s="75" t="str">
        <f ca="1">IF(AND('Mapa final'!$AB$23="Baja",'Mapa final'!$AD$23="Leve"),CONCATENATE("R3C",'Mapa final'!$R$23),"")</f>
        <v/>
      </c>
      <c r="K38" s="76" t="str">
        <f>IF(AND('Mapa final'!$AB$24="Baja",'Mapa final'!$AD$24="Leve"),CONCATENATE("R3C",'Mapa final'!$R$24),"")</f>
        <v/>
      </c>
      <c r="L38" s="76" t="str">
        <f>IF(AND('Mapa final'!$AB$25="Baja",'Mapa final'!$AD$25="Leve"),CONCATENATE("R3C",'Mapa final'!$R$25),"")</f>
        <v/>
      </c>
      <c r="M38" s="76" t="str">
        <f>IF(AND('Mapa final'!$AB$26="Baja",'Mapa final'!$AD$26="Leve"),CONCATENATE("R3C",'Mapa final'!$R$26),"")</f>
        <v/>
      </c>
      <c r="N38" s="76" t="str">
        <f>IF(AND('Mapa final'!$AB$27="Baja",'Mapa final'!$AD$27="Leve"),CONCATENATE("R3C",'Mapa final'!$R$27),"")</f>
        <v/>
      </c>
      <c r="O38" s="77" t="str">
        <f>IF(AND('Mapa final'!$AB$28="Baja",'Mapa final'!$AD$28="Leve"),CONCATENATE("R3C",'Mapa final'!$R$28),"")</f>
        <v/>
      </c>
      <c r="P38" s="66" t="str">
        <f ca="1">IF(AND('Mapa final'!$AB$23="Baja",'Mapa final'!$AD$23="Menor"),CONCATENATE("R3C",'Mapa final'!$R$23),"")</f>
        <v/>
      </c>
      <c r="Q38" s="67" t="str">
        <f>IF(AND('Mapa final'!$AB$24="Baja",'Mapa final'!$AD$24="Menor"),CONCATENATE("R3C",'Mapa final'!$R$24),"")</f>
        <v/>
      </c>
      <c r="R38" s="67" t="str">
        <f>IF(AND('Mapa final'!$AB$25="Baja",'Mapa final'!$AD$25="Menor"),CONCATENATE("R3C",'Mapa final'!$R$25),"")</f>
        <v/>
      </c>
      <c r="S38" s="67" t="str">
        <f>IF(AND('Mapa final'!$AB$26="Baja",'Mapa final'!$AD$26="Menor"),CONCATENATE("R3C",'Mapa final'!$R$26),"")</f>
        <v/>
      </c>
      <c r="T38" s="67" t="str">
        <f>IF(AND('Mapa final'!$AB$27="Baja",'Mapa final'!$AD$27="Menor"),CONCATENATE("R3C",'Mapa final'!$R$27),"")</f>
        <v/>
      </c>
      <c r="U38" s="68" t="str">
        <f>IF(AND('Mapa final'!$AB$28="Baja",'Mapa final'!$AD$28="Menor"),CONCATENATE("R3C",'Mapa final'!$R$28),"")</f>
        <v/>
      </c>
      <c r="V38" s="66" t="str">
        <f ca="1">IF(AND('Mapa final'!$AB$23="Baja",'Mapa final'!$AD$23="Moderado"),CONCATENATE("R3C",'Mapa final'!$R$23),"")</f>
        <v>R3C1</v>
      </c>
      <c r="W38" s="67" t="str">
        <f>IF(AND('Mapa final'!$AB$24="Baja",'Mapa final'!$AD$24="Moderado"),CONCATENATE("R3C",'Mapa final'!$R$24),"")</f>
        <v/>
      </c>
      <c r="X38" s="67" t="str">
        <f>IF(AND('Mapa final'!$AB$25="Baja",'Mapa final'!$AD$25="Moderado"),CONCATENATE("R3C",'Mapa final'!$R$25),"")</f>
        <v/>
      </c>
      <c r="Y38" s="67" t="str">
        <f>IF(AND('Mapa final'!$AB$26="Baja",'Mapa final'!$AD$26="Moderado"),CONCATENATE("R3C",'Mapa final'!$R$26),"")</f>
        <v/>
      </c>
      <c r="Z38" s="67" t="str">
        <f>IF(AND('Mapa final'!$AB$27="Baja",'Mapa final'!$AD$27="Moderado"),CONCATENATE("R3C",'Mapa final'!$R$27),"")</f>
        <v/>
      </c>
      <c r="AA38" s="68" t="str">
        <f>IF(AND('Mapa final'!$AB$28="Baja",'Mapa final'!$AD$28="Moderado"),CONCATENATE("R3C",'Mapa final'!$R$28),"")</f>
        <v/>
      </c>
      <c r="AB38" s="51" t="str">
        <f ca="1">IF(AND('Mapa final'!$AB$23="Baja",'Mapa final'!$AD$23="Mayor"),CONCATENATE("R3C",'Mapa final'!$R$23),"")</f>
        <v/>
      </c>
      <c r="AC38" s="52" t="str">
        <f>IF(AND('Mapa final'!$AB$24="Baja",'Mapa final'!$AD$24="Mayor"),CONCATENATE("R3C",'Mapa final'!$R$24),"")</f>
        <v/>
      </c>
      <c r="AD38" s="52" t="str">
        <f>IF(AND('Mapa final'!$AB$25="Baja",'Mapa final'!$AD$25="Mayor"),CONCATENATE("R3C",'Mapa final'!$R$25),"")</f>
        <v/>
      </c>
      <c r="AE38" s="52" t="str">
        <f>IF(AND('Mapa final'!$AB$26="Baja",'Mapa final'!$AD$26="Mayor"),CONCATENATE("R3C",'Mapa final'!$R$26),"")</f>
        <v/>
      </c>
      <c r="AF38" s="52" t="str">
        <f>IF(AND('Mapa final'!$AB$27="Baja",'Mapa final'!$AD$27="Mayor"),CONCATENATE("R3C",'Mapa final'!$R$27),"")</f>
        <v/>
      </c>
      <c r="AG38" s="53" t="str">
        <f>IF(AND('Mapa final'!$AB$28="Baja",'Mapa final'!$AD$28="Mayor"),CONCATENATE("R3C",'Mapa final'!$R$28),"")</f>
        <v/>
      </c>
      <c r="AH38" s="54" t="str">
        <f ca="1">IF(AND('Mapa final'!$AB$23="Baja",'Mapa final'!$AD$23="Catastrófico"),CONCATENATE("R3C",'Mapa final'!$R$23),"")</f>
        <v/>
      </c>
      <c r="AI38" s="55" t="str">
        <f>IF(AND('Mapa final'!$AB$24="Baja",'Mapa final'!$AD$24="Catastrófico"),CONCATENATE("R3C",'Mapa final'!$R$24),"")</f>
        <v/>
      </c>
      <c r="AJ38" s="55" t="str">
        <f>IF(AND('Mapa final'!$AB$25="Baja",'Mapa final'!$AD$25="Catastrófico"),CONCATENATE("R3C",'Mapa final'!$R$25),"")</f>
        <v/>
      </c>
      <c r="AK38" s="55" t="str">
        <f>IF(AND('Mapa final'!$AB$26="Baja",'Mapa final'!$AD$26="Catastrófico"),CONCATENATE("R3C",'Mapa final'!$R$26),"")</f>
        <v/>
      </c>
      <c r="AL38" s="55" t="str">
        <f>IF(AND('Mapa final'!$AB$27="Baja",'Mapa final'!$AD$27="Catastrófico"),CONCATENATE("R3C",'Mapa final'!$R$27),"")</f>
        <v/>
      </c>
      <c r="AM38" s="56" t="str">
        <f>IF(AND('Mapa final'!$AB$28="Baja",'Mapa final'!$AD$28="Catastrófico"),CONCATENATE("R3C",'Mapa final'!$R$28),"")</f>
        <v/>
      </c>
      <c r="AN38" s="82"/>
      <c r="AO38" s="385"/>
      <c r="AP38" s="386"/>
      <c r="AQ38" s="386"/>
      <c r="AR38" s="386"/>
      <c r="AS38" s="386"/>
      <c r="AT38" s="387"/>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266"/>
      <c r="C39" s="266"/>
      <c r="D39" s="267"/>
      <c r="E39" s="365"/>
      <c r="F39" s="364"/>
      <c r="G39" s="364"/>
      <c r="H39" s="364"/>
      <c r="I39" s="364"/>
      <c r="J39" s="75" t="str">
        <f ca="1">IF(AND('Mapa final'!$AB$29="Baja",'Mapa final'!$AD$29="Leve"),CONCATENATE("R4C",'Mapa final'!$R$29),"")</f>
        <v/>
      </c>
      <c r="K39" s="76" t="str">
        <f>IF(AND('Mapa final'!$AB$30="Baja",'Mapa final'!$AD$30="Leve"),CONCATENATE("R4C",'Mapa final'!$R$30),"")</f>
        <v/>
      </c>
      <c r="L39" s="76" t="str">
        <f>IF(AND('Mapa final'!$AB$31="Baja",'Mapa final'!$AD$31="Leve"),CONCATENATE("R4C",'Mapa final'!$R$31),"")</f>
        <v/>
      </c>
      <c r="M39" s="76" t="str">
        <f>IF(AND('Mapa final'!$AB$32="Baja",'Mapa final'!$AD$32="Leve"),CONCATENATE("R4C",'Mapa final'!$R$32),"")</f>
        <v/>
      </c>
      <c r="N39" s="76" t="str">
        <f>IF(AND('Mapa final'!$AB$33="Baja",'Mapa final'!$AD$33="Leve"),CONCATENATE("R4C",'Mapa final'!$R$33),"")</f>
        <v/>
      </c>
      <c r="O39" s="77" t="str">
        <f>IF(AND('Mapa final'!$AB$34="Baja",'Mapa final'!$AD$34="Leve"),CONCATENATE("R4C",'Mapa final'!$R$34),"")</f>
        <v/>
      </c>
      <c r="P39" s="66" t="str">
        <f ca="1">IF(AND('Mapa final'!$AB$29="Baja",'Mapa final'!$AD$29="Menor"),CONCATENATE("R4C",'Mapa final'!$R$29),"")</f>
        <v/>
      </c>
      <c r="Q39" s="67" t="str">
        <f>IF(AND('Mapa final'!$AB$30="Baja",'Mapa final'!$AD$30="Menor"),CONCATENATE("R4C",'Mapa final'!$R$30),"")</f>
        <v/>
      </c>
      <c r="R39" s="67" t="str">
        <f>IF(AND('Mapa final'!$AB$31="Baja",'Mapa final'!$AD$31="Menor"),CONCATENATE("R4C",'Mapa final'!$R$31),"")</f>
        <v/>
      </c>
      <c r="S39" s="67" t="str">
        <f>IF(AND('Mapa final'!$AB$32="Baja",'Mapa final'!$AD$32="Menor"),CONCATENATE("R4C",'Mapa final'!$R$32),"")</f>
        <v/>
      </c>
      <c r="T39" s="67" t="str">
        <f>IF(AND('Mapa final'!$AB$33="Baja",'Mapa final'!$AD$33="Menor"),CONCATENATE("R4C",'Mapa final'!$R$33),"")</f>
        <v/>
      </c>
      <c r="U39" s="68" t="str">
        <f>IF(AND('Mapa final'!$AB$34="Baja",'Mapa final'!$AD$34="Menor"),CONCATENATE("R4C",'Mapa final'!$R$34),"")</f>
        <v/>
      </c>
      <c r="V39" s="66" t="str">
        <f ca="1">IF(AND('Mapa final'!$AB$29="Baja",'Mapa final'!$AD$29="Moderado"),CONCATENATE("R4C",'Mapa final'!$R$29),"")</f>
        <v/>
      </c>
      <c r="W39" s="67" t="str">
        <f>IF(AND('Mapa final'!$AB$30="Baja",'Mapa final'!$AD$30="Moderado"),CONCATENATE("R4C",'Mapa final'!$R$30),"")</f>
        <v/>
      </c>
      <c r="X39" s="67" t="str">
        <f>IF(AND('Mapa final'!$AB$31="Baja",'Mapa final'!$AD$31="Moderado"),CONCATENATE("R4C",'Mapa final'!$R$31),"")</f>
        <v/>
      </c>
      <c r="Y39" s="67" t="str">
        <f>IF(AND('Mapa final'!$AB$32="Baja",'Mapa final'!$AD$32="Moderado"),CONCATENATE("R4C",'Mapa final'!$R$32),"")</f>
        <v/>
      </c>
      <c r="Z39" s="67" t="str">
        <f>IF(AND('Mapa final'!$AB$33="Baja",'Mapa final'!$AD$33="Moderado"),CONCATENATE("R4C",'Mapa final'!$R$33),"")</f>
        <v/>
      </c>
      <c r="AA39" s="68" t="str">
        <f>IF(AND('Mapa final'!$AB$34="Baja",'Mapa final'!$AD$34="Moderado"),CONCATENATE("R4C",'Mapa final'!$R$34),"")</f>
        <v/>
      </c>
      <c r="AB39" s="51" t="str">
        <f ca="1">IF(AND('Mapa final'!$AB$29="Baja",'Mapa final'!$AD$29="Mayor"),CONCATENATE("R4C",'Mapa final'!$R$29),"")</f>
        <v/>
      </c>
      <c r="AC39" s="52" t="str">
        <f>IF(AND('Mapa final'!$AB$30="Baja",'Mapa final'!$AD$30="Mayor"),CONCATENATE("R4C",'Mapa final'!$R$30),"")</f>
        <v/>
      </c>
      <c r="AD39" s="52" t="str">
        <f>IF(AND('Mapa final'!$AB$31="Baja",'Mapa final'!$AD$31="Mayor"),CONCATENATE("R4C",'Mapa final'!$R$31),"")</f>
        <v/>
      </c>
      <c r="AE39" s="52" t="str">
        <f>IF(AND('Mapa final'!$AB$32="Baja",'Mapa final'!$AD$32="Mayor"),CONCATENATE("R4C",'Mapa final'!$R$32),"")</f>
        <v/>
      </c>
      <c r="AF39" s="52" t="str">
        <f>IF(AND('Mapa final'!$AB$33="Baja",'Mapa final'!$AD$33="Mayor"),CONCATENATE("R4C",'Mapa final'!$R$33),"")</f>
        <v/>
      </c>
      <c r="AG39" s="53" t="str">
        <f>IF(AND('Mapa final'!$AB$34="Baja",'Mapa final'!$AD$34="Mayor"),CONCATENATE("R4C",'Mapa final'!$R$34),"")</f>
        <v/>
      </c>
      <c r="AH39" s="54" t="str">
        <f ca="1">IF(AND('Mapa final'!$AB$29="Baja",'Mapa final'!$AD$29="Catastrófico"),CONCATENATE("R4C",'Mapa final'!$R$29),"")</f>
        <v/>
      </c>
      <c r="AI39" s="55" t="str">
        <f>IF(AND('Mapa final'!$AB$30="Baja",'Mapa final'!$AD$30="Catastrófico"),CONCATENATE("R4C",'Mapa final'!$R$30),"")</f>
        <v/>
      </c>
      <c r="AJ39" s="55" t="str">
        <f>IF(AND('Mapa final'!$AB$31="Baja",'Mapa final'!$AD$31="Catastrófico"),CONCATENATE("R4C",'Mapa final'!$R$31),"")</f>
        <v/>
      </c>
      <c r="AK39" s="55" t="str">
        <f>IF(AND('Mapa final'!$AB$32="Baja",'Mapa final'!$AD$32="Catastrófico"),CONCATENATE("R4C",'Mapa final'!$R$32),"")</f>
        <v/>
      </c>
      <c r="AL39" s="55" t="str">
        <f>IF(AND('Mapa final'!$AB$33="Baja",'Mapa final'!$AD$33="Catastrófico"),CONCATENATE("R4C",'Mapa final'!$R$33),"")</f>
        <v/>
      </c>
      <c r="AM39" s="56" t="str">
        <f>IF(AND('Mapa final'!$AB$34="Baja",'Mapa final'!$AD$34="Catastrófico"),CONCATENATE("R4C",'Mapa final'!$R$34),"")</f>
        <v/>
      </c>
      <c r="AN39" s="82"/>
      <c r="AO39" s="385"/>
      <c r="AP39" s="386"/>
      <c r="AQ39" s="386"/>
      <c r="AR39" s="386"/>
      <c r="AS39" s="386"/>
      <c r="AT39" s="387"/>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266"/>
      <c r="C40" s="266"/>
      <c r="D40" s="267"/>
      <c r="E40" s="365"/>
      <c r="F40" s="364"/>
      <c r="G40" s="364"/>
      <c r="H40" s="364"/>
      <c r="I40" s="364"/>
      <c r="J40" s="75" t="e">
        <f>IF(AND('Mapa final'!#REF!="Baja",'Mapa final'!#REF!="Leve"),CONCATENATE("R5C",'Mapa final'!#REF!),"")</f>
        <v>#REF!</v>
      </c>
      <c r="K40" s="76" t="e">
        <f>IF(AND('Mapa final'!#REF!="Baja",'Mapa final'!#REF!="Leve"),CONCATENATE("R5C",'Mapa final'!#REF!),"")</f>
        <v>#REF!</v>
      </c>
      <c r="L40" s="76" t="e">
        <f>IF(AND('Mapa final'!#REF!="Baja",'Mapa final'!#REF!="Leve"),CONCATENATE("R5C",'Mapa final'!#REF!),"")</f>
        <v>#REF!</v>
      </c>
      <c r="M40" s="76" t="e">
        <f>IF(AND('Mapa final'!#REF!="Baja",'Mapa final'!#REF!="Leve"),CONCATENATE("R5C",'Mapa final'!#REF!),"")</f>
        <v>#REF!</v>
      </c>
      <c r="N40" s="76" t="e">
        <f>IF(AND('Mapa final'!#REF!="Baja",'Mapa final'!#REF!="Leve"),CONCATENATE("R5C",'Mapa final'!#REF!),"")</f>
        <v>#REF!</v>
      </c>
      <c r="O40" s="77" t="e">
        <f>IF(AND('Mapa final'!#REF!="Baja",'Mapa final'!#REF!="Leve"),CONCATENATE("R5C",'Mapa final'!#REF!),"")</f>
        <v>#REF!</v>
      </c>
      <c r="P40" s="66" t="e">
        <f>IF(AND('Mapa final'!#REF!="Baja",'Mapa final'!#REF!="Menor"),CONCATENATE("R5C",'Mapa final'!#REF!),"")</f>
        <v>#REF!</v>
      </c>
      <c r="Q40" s="67" t="e">
        <f>IF(AND('Mapa final'!#REF!="Baja",'Mapa final'!#REF!="Menor"),CONCATENATE("R5C",'Mapa final'!#REF!),"")</f>
        <v>#REF!</v>
      </c>
      <c r="R40" s="67" t="e">
        <f>IF(AND('Mapa final'!#REF!="Baja",'Mapa final'!#REF!="Menor"),CONCATENATE("R5C",'Mapa final'!#REF!),"")</f>
        <v>#REF!</v>
      </c>
      <c r="S40" s="67" t="e">
        <f>IF(AND('Mapa final'!#REF!="Baja",'Mapa final'!#REF!="Menor"),CONCATENATE("R5C",'Mapa final'!#REF!),"")</f>
        <v>#REF!</v>
      </c>
      <c r="T40" s="67" t="e">
        <f>IF(AND('Mapa final'!#REF!="Baja",'Mapa final'!#REF!="Menor"),CONCATENATE("R5C",'Mapa final'!#REF!),"")</f>
        <v>#REF!</v>
      </c>
      <c r="U40" s="68" t="e">
        <f>IF(AND('Mapa final'!#REF!="Baja",'Mapa final'!#REF!="Menor"),CONCATENATE("R5C",'Mapa final'!#REF!),"")</f>
        <v>#REF!</v>
      </c>
      <c r="V40" s="66" t="e">
        <f>IF(AND('Mapa final'!#REF!="Baja",'Mapa final'!#REF!="Moderado"),CONCATENATE("R5C",'Mapa final'!#REF!),"")</f>
        <v>#REF!</v>
      </c>
      <c r="W40" s="67" t="e">
        <f>IF(AND('Mapa final'!#REF!="Baja",'Mapa final'!#REF!="Moderado"),CONCATENATE("R5C",'Mapa final'!#REF!),"")</f>
        <v>#REF!</v>
      </c>
      <c r="X40" s="67" t="e">
        <f>IF(AND('Mapa final'!#REF!="Baja",'Mapa final'!#REF!="Moderado"),CONCATENATE("R5C",'Mapa final'!#REF!),"")</f>
        <v>#REF!</v>
      </c>
      <c r="Y40" s="67" t="e">
        <f>IF(AND('Mapa final'!#REF!="Baja",'Mapa final'!#REF!="Moderado"),CONCATENATE("R5C",'Mapa final'!#REF!),"")</f>
        <v>#REF!</v>
      </c>
      <c r="Z40" s="67" t="e">
        <f>IF(AND('Mapa final'!#REF!="Baja",'Mapa final'!#REF!="Moderado"),CONCATENATE("R5C",'Mapa final'!#REF!),"")</f>
        <v>#REF!</v>
      </c>
      <c r="AA40" s="68" t="e">
        <f>IF(AND('Mapa final'!#REF!="Baja",'Mapa final'!#REF!="Moderado"),CONCATENATE("R5C",'Mapa final'!#REF!),"")</f>
        <v>#REF!</v>
      </c>
      <c r="AB40" s="51" t="e">
        <f>IF(AND('Mapa final'!#REF!="Baja",'Mapa final'!#REF!="Mayor"),CONCATENATE("R5C",'Mapa final'!#REF!),"")</f>
        <v>#REF!</v>
      </c>
      <c r="AC40" s="52" t="e">
        <f>IF(AND('Mapa final'!#REF!="Baja",'Mapa final'!#REF!="Mayor"),CONCATENATE("R5C",'Mapa final'!#REF!),"")</f>
        <v>#REF!</v>
      </c>
      <c r="AD40" s="52" t="e">
        <f>IF(AND('Mapa final'!#REF!="Baja",'Mapa final'!#REF!="Mayor"),CONCATENATE("R5C",'Mapa final'!#REF!),"")</f>
        <v>#REF!</v>
      </c>
      <c r="AE40" s="52" t="e">
        <f>IF(AND('Mapa final'!#REF!="Baja",'Mapa final'!#REF!="Mayor"),CONCATENATE("R5C",'Mapa final'!#REF!),"")</f>
        <v>#REF!</v>
      </c>
      <c r="AF40" s="52" t="e">
        <f>IF(AND('Mapa final'!#REF!="Baja",'Mapa final'!#REF!="Mayor"),CONCATENATE("R5C",'Mapa final'!#REF!),"")</f>
        <v>#REF!</v>
      </c>
      <c r="AG40" s="53" t="e">
        <f>IF(AND('Mapa final'!#REF!="Baja",'Mapa final'!#REF!="Mayor"),CONCATENATE("R5C",'Mapa final'!#REF!),"")</f>
        <v>#REF!</v>
      </c>
      <c r="AH40" s="54" t="e">
        <f>IF(AND('Mapa final'!#REF!="Baja",'Mapa final'!#REF!="Catastrófico"),CONCATENATE("R5C",'Mapa final'!#REF!),"")</f>
        <v>#REF!</v>
      </c>
      <c r="AI40" s="55" t="e">
        <f>IF(AND('Mapa final'!#REF!="Baja",'Mapa final'!#REF!="Catastrófico"),CONCATENATE("R5C",'Mapa final'!#REF!),"")</f>
        <v>#REF!</v>
      </c>
      <c r="AJ40" s="55" t="e">
        <f>IF(AND('Mapa final'!#REF!="Baja",'Mapa final'!#REF!="Catastrófico"),CONCATENATE("R5C",'Mapa final'!#REF!),"")</f>
        <v>#REF!</v>
      </c>
      <c r="AK40" s="55" t="e">
        <f>IF(AND('Mapa final'!#REF!="Baja",'Mapa final'!#REF!="Catastrófico"),CONCATENATE("R5C",'Mapa final'!#REF!),"")</f>
        <v>#REF!</v>
      </c>
      <c r="AL40" s="55" t="e">
        <f>IF(AND('Mapa final'!#REF!="Baja",'Mapa final'!#REF!="Catastrófico"),CONCATENATE("R5C",'Mapa final'!#REF!),"")</f>
        <v>#REF!</v>
      </c>
      <c r="AM40" s="56" t="e">
        <f>IF(AND('Mapa final'!#REF!="Baja",'Mapa final'!#REF!="Catastrófico"),CONCATENATE("R5C",'Mapa final'!#REF!),"")</f>
        <v>#REF!</v>
      </c>
      <c r="AN40" s="82"/>
      <c r="AO40" s="385"/>
      <c r="AP40" s="386"/>
      <c r="AQ40" s="386"/>
      <c r="AR40" s="386"/>
      <c r="AS40" s="386"/>
      <c r="AT40" s="387"/>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266"/>
      <c r="C41" s="266"/>
      <c r="D41" s="267"/>
      <c r="E41" s="365"/>
      <c r="F41" s="364"/>
      <c r="G41" s="364"/>
      <c r="H41" s="364"/>
      <c r="I41" s="364"/>
      <c r="J41" s="75" t="str">
        <f ca="1">IF(AND('Mapa final'!$AB$35="Baja",'Mapa final'!$AD$35="Leve"),CONCATENATE("R6C",'Mapa final'!$R$35),"")</f>
        <v/>
      </c>
      <c r="K41" s="76" t="str">
        <f>IF(AND('Mapa final'!$AB$36="Baja",'Mapa final'!$AD$36="Leve"),CONCATENATE("R6C",'Mapa final'!$R$36),"")</f>
        <v/>
      </c>
      <c r="L41" s="76" t="str">
        <f>IF(AND('Mapa final'!$AB$37="Baja",'Mapa final'!$AD$37="Leve"),CONCATENATE("R6C",'Mapa final'!$R$37),"")</f>
        <v/>
      </c>
      <c r="M41" s="76" t="str">
        <f>IF(AND('Mapa final'!$AB$38="Baja",'Mapa final'!$AD$38="Leve"),CONCATENATE("R6C",'Mapa final'!$R$38),"")</f>
        <v/>
      </c>
      <c r="N41" s="76" t="str">
        <f>IF(AND('Mapa final'!$AB$39="Baja",'Mapa final'!$AD$39="Leve"),CONCATENATE("R6C",'Mapa final'!$R$39),"")</f>
        <v/>
      </c>
      <c r="O41" s="77" t="str">
        <f>IF(AND('Mapa final'!$AB$40="Baja",'Mapa final'!$AD$40="Leve"),CONCATENATE("R6C",'Mapa final'!$R$40),"")</f>
        <v/>
      </c>
      <c r="P41" s="66" t="str">
        <f ca="1">IF(AND('Mapa final'!$AB$35="Baja",'Mapa final'!$AD$35="Menor"),CONCATENATE("R6C",'Mapa final'!$R$35),"")</f>
        <v/>
      </c>
      <c r="Q41" s="67" t="str">
        <f>IF(AND('Mapa final'!$AB$36="Baja",'Mapa final'!$AD$36="Menor"),CONCATENATE("R6C",'Mapa final'!$R$36),"")</f>
        <v/>
      </c>
      <c r="R41" s="67" t="str">
        <f>IF(AND('Mapa final'!$AB$37="Baja",'Mapa final'!$AD$37="Menor"),CONCATENATE("R6C",'Mapa final'!$R$37),"")</f>
        <v/>
      </c>
      <c r="S41" s="67" t="str">
        <f>IF(AND('Mapa final'!$AB$38="Baja",'Mapa final'!$AD$38="Menor"),CONCATENATE("R6C",'Mapa final'!$R$38),"")</f>
        <v/>
      </c>
      <c r="T41" s="67" t="str">
        <f>IF(AND('Mapa final'!$AB$39="Baja",'Mapa final'!$AD$39="Menor"),CONCATENATE("R6C",'Mapa final'!$R$39),"")</f>
        <v/>
      </c>
      <c r="U41" s="68" t="str">
        <f>IF(AND('Mapa final'!$AB$40="Baja",'Mapa final'!$AD$40="Menor"),CONCATENATE("R6C",'Mapa final'!$R$40),"")</f>
        <v/>
      </c>
      <c r="V41" s="66" t="str">
        <f ca="1">IF(AND('Mapa final'!$AB$35="Baja",'Mapa final'!$AD$35="Moderado"),CONCATENATE("R6C",'Mapa final'!$R$35),"")</f>
        <v>R6C1</v>
      </c>
      <c r="W41" s="67" t="str">
        <f>IF(AND('Mapa final'!$AB$36="Baja",'Mapa final'!$AD$36="Moderado"),CONCATENATE("R6C",'Mapa final'!$R$36),"")</f>
        <v/>
      </c>
      <c r="X41" s="67" t="str">
        <f>IF(AND('Mapa final'!$AB$37="Baja",'Mapa final'!$AD$37="Moderado"),CONCATENATE("R6C",'Mapa final'!$R$37),"")</f>
        <v/>
      </c>
      <c r="Y41" s="67" t="str">
        <f>IF(AND('Mapa final'!$AB$38="Baja",'Mapa final'!$AD$38="Moderado"),CONCATENATE("R6C",'Mapa final'!$R$38),"")</f>
        <v/>
      </c>
      <c r="Z41" s="67" t="str">
        <f>IF(AND('Mapa final'!$AB$39="Baja",'Mapa final'!$AD$39="Moderado"),CONCATENATE("R6C",'Mapa final'!$R$39),"")</f>
        <v/>
      </c>
      <c r="AA41" s="68" t="str">
        <f>IF(AND('Mapa final'!$AB$40="Baja",'Mapa final'!$AD$40="Moderado"),CONCATENATE("R6C",'Mapa final'!$R$40),"")</f>
        <v/>
      </c>
      <c r="AB41" s="51" t="str">
        <f ca="1">IF(AND('Mapa final'!$AB$35="Baja",'Mapa final'!$AD$35="Mayor"),CONCATENATE("R6C",'Mapa final'!$R$35),"")</f>
        <v/>
      </c>
      <c r="AC41" s="52" t="str">
        <f>IF(AND('Mapa final'!$AB$36="Baja",'Mapa final'!$AD$36="Mayor"),CONCATENATE("R6C",'Mapa final'!$R$36),"")</f>
        <v/>
      </c>
      <c r="AD41" s="52" t="str">
        <f>IF(AND('Mapa final'!$AB$37="Baja",'Mapa final'!$AD$37="Mayor"),CONCATENATE("R6C",'Mapa final'!$R$37),"")</f>
        <v/>
      </c>
      <c r="AE41" s="52" t="str">
        <f>IF(AND('Mapa final'!$AB$38="Baja",'Mapa final'!$AD$38="Mayor"),CONCATENATE("R6C",'Mapa final'!$R$38),"")</f>
        <v/>
      </c>
      <c r="AF41" s="52" t="str">
        <f>IF(AND('Mapa final'!$AB$39="Baja",'Mapa final'!$AD$39="Mayor"),CONCATENATE("R6C",'Mapa final'!$R$39),"")</f>
        <v/>
      </c>
      <c r="AG41" s="53" t="str">
        <f>IF(AND('Mapa final'!$AB$40="Baja",'Mapa final'!$AD$40="Mayor"),CONCATENATE("R6C",'Mapa final'!$R$40),"")</f>
        <v/>
      </c>
      <c r="AH41" s="54" t="str">
        <f ca="1">IF(AND('Mapa final'!$AB$35="Baja",'Mapa final'!$AD$35="Catastrófico"),CONCATENATE("R6C",'Mapa final'!$R$35),"")</f>
        <v/>
      </c>
      <c r="AI41" s="55" t="str">
        <f>IF(AND('Mapa final'!$AB$36="Baja",'Mapa final'!$AD$36="Catastrófico"),CONCATENATE("R6C",'Mapa final'!$R$36),"")</f>
        <v/>
      </c>
      <c r="AJ41" s="55" t="str">
        <f>IF(AND('Mapa final'!$AB$37="Baja",'Mapa final'!$AD$37="Catastrófico"),CONCATENATE("R6C",'Mapa final'!$R$37),"")</f>
        <v/>
      </c>
      <c r="AK41" s="55" t="str">
        <f>IF(AND('Mapa final'!$AB$38="Baja",'Mapa final'!$AD$38="Catastrófico"),CONCATENATE("R6C",'Mapa final'!$R$38),"")</f>
        <v/>
      </c>
      <c r="AL41" s="55" t="str">
        <f>IF(AND('Mapa final'!$AB$39="Baja",'Mapa final'!$AD$39="Catastrófico"),CONCATENATE("R6C",'Mapa final'!$R$39),"")</f>
        <v/>
      </c>
      <c r="AM41" s="56" t="str">
        <f>IF(AND('Mapa final'!$AB$40="Baja",'Mapa final'!$AD$40="Catastrófico"),CONCATENATE("R6C",'Mapa final'!$R$40),"")</f>
        <v/>
      </c>
      <c r="AN41" s="82"/>
      <c r="AO41" s="385"/>
      <c r="AP41" s="386"/>
      <c r="AQ41" s="386"/>
      <c r="AR41" s="386"/>
      <c r="AS41" s="386"/>
      <c r="AT41" s="387"/>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266"/>
      <c r="C42" s="266"/>
      <c r="D42" s="267"/>
      <c r="E42" s="365"/>
      <c r="F42" s="364"/>
      <c r="G42" s="364"/>
      <c r="H42" s="364"/>
      <c r="I42" s="364"/>
      <c r="J42" s="75" t="str">
        <f>IF(AND('Mapa final'!$AB$41="Baja",'Mapa final'!$AD$41="Leve"),CONCATENATE("R7C",'Mapa final'!$R$41),"")</f>
        <v/>
      </c>
      <c r="K42" s="76" t="str">
        <f>IF(AND('Mapa final'!$AB$42="Baja",'Mapa final'!$AD$42="Leve"),CONCATENATE("R7C",'Mapa final'!$R$42),"")</f>
        <v/>
      </c>
      <c r="L42" s="76" t="str">
        <f>IF(AND('Mapa final'!$AB$43="Baja",'Mapa final'!$AD$43="Leve"),CONCATENATE("R7C",'Mapa final'!$R$43),"")</f>
        <v/>
      </c>
      <c r="M42" s="76" t="str">
        <f>IF(AND('Mapa final'!$AB$44="Baja",'Mapa final'!$AD$44="Leve"),CONCATENATE("R7C",'Mapa final'!$R$44),"")</f>
        <v/>
      </c>
      <c r="N42" s="76" t="str">
        <f>IF(AND('Mapa final'!$AB$45="Baja",'Mapa final'!$AD$45="Leve"),CONCATENATE("R7C",'Mapa final'!$R$45),"")</f>
        <v/>
      </c>
      <c r="O42" s="77" t="str">
        <f>IF(AND('Mapa final'!$AB$46="Baja",'Mapa final'!$AD$46="Leve"),CONCATENATE("R7C",'Mapa final'!$R$46),"")</f>
        <v/>
      </c>
      <c r="P42" s="66" t="str">
        <f>IF(AND('Mapa final'!$AB$41="Baja",'Mapa final'!$AD$41="Menor"),CONCATENATE("R7C",'Mapa final'!$R$41),"")</f>
        <v/>
      </c>
      <c r="Q42" s="67" t="str">
        <f>IF(AND('Mapa final'!$AB$42="Baja",'Mapa final'!$AD$42="Menor"),CONCATENATE("R7C",'Mapa final'!$R$42),"")</f>
        <v/>
      </c>
      <c r="R42" s="67" t="str">
        <f>IF(AND('Mapa final'!$AB$43="Baja",'Mapa final'!$AD$43="Menor"),CONCATENATE("R7C",'Mapa final'!$R$43),"")</f>
        <v/>
      </c>
      <c r="S42" s="67" t="str">
        <f>IF(AND('Mapa final'!$AB$44="Baja",'Mapa final'!$AD$44="Menor"),CONCATENATE("R7C",'Mapa final'!$R$44),"")</f>
        <v/>
      </c>
      <c r="T42" s="67" t="str">
        <f>IF(AND('Mapa final'!$AB$45="Baja",'Mapa final'!$AD$45="Menor"),CONCATENATE("R7C",'Mapa final'!$R$45),"")</f>
        <v/>
      </c>
      <c r="U42" s="68" t="str">
        <f>IF(AND('Mapa final'!$AB$46="Baja",'Mapa final'!$AD$46="Menor"),CONCATENATE("R7C",'Mapa final'!$R$46),"")</f>
        <v/>
      </c>
      <c r="V42" s="66" t="str">
        <f>IF(AND('Mapa final'!$AB$41="Baja",'Mapa final'!$AD$41="Moderado"),CONCATENATE("R7C",'Mapa final'!$R$41),"")</f>
        <v/>
      </c>
      <c r="W42" s="67" t="str">
        <f>IF(AND('Mapa final'!$AB$42="Baja",'Mapa final'!$AD$42="Moderado"),CONCATENATE("R7C",'Mapa final'!$R$42),"")</f>
        <v/>
      </c>
      <c r="X42" s="67" t="str">
        <f>IF(AND('Mapa final'!$AB$43="Baja",'Mapa final'!$AD$43="Moderado"),CONCATENATE("R7C",'Mapa final'!$R$43),"")</f>
        <v/>
      </c>
      <c r="Y42" s="67" t="str">
        <f>IF(AND('Mapa final'!$AB$44="Baja",'Mapa final'!$AD$44="Moderado"),CONCATENATE("R7C",'Mapa final'!$R$44),"")</f>
        <v/>
      </c>
      <c r="Z42" s="67" t="str">
        <f>IF(AND('Mapa final'!$AB$45="Baja",'Mapa final'!$AD$45="Moderado"),CONCATENATE("R7C",'Mapa final'!$R$45),"")</f>
        <v/>
      </c>
      <c r="AA42" s="68" t="str">
        <f>IF(AND('Mapa final'!$AB$46="Baja",'Mapa final'!$AD$46="Moderado"),CONCATENATE("R7C",'Mapa final'!$R$46),"")</f>
        <v/>
      </c>
      <c r="AB42" s="51" t="str">
        <f>IF(AND('Mapa final'!$AB$41="Baja",'Mapa final'!$AD$41="Mayor"),CONCATENATE("R7C",'Mapa final'!$R$41),"")</f>
        <v/>
      </c>
      <c r="AC42" s="52" t="str">
        <f>IF(AND('Mapa final'!$AB$42="Baja",'Mapa final'!$AD$42="Mayor"),CONCATENATE("R7C",'Mapa final'!$R$42),"")</f>
        <v/>
      </c>
      <c r="AD42" s="52" t="str">
        <f>IF(AND('Mapa final'!$AB$43="Baja",'Mapa final'!$AD$43="Mayor"),CONCATENATE("R7C",'Mapa final'!$R$43),"")</f>
        <v/>
      </c>
      <c r="AE42" s="52" t="str">
        <f>IF(AND('Mapa final'!$AB$44="Baja",'Mapa final'!$AD$44="Mayor"),CONCATENATE("R7C",'Mapa final'!$R$44),"")</f>
        <v/>
      </c>
      <c r="AF42" s="52" t="str">
        <f>IF(AND('Mapa final'!$AB$45="Baja",'Mapa final'!$AD$45="Mayor"),CONCATENATE("R7C",'Mapa final'!$R$45),"")</f>
        <v/>
      </c>
      <c r="AG42" s="53" t="str">
        <f>IF(AND('Mapa final'!$AB$46="Baja",'Mapa final'!$AD$46="Mayor"),CONCATENATE("R7C",'Mapa final'!$R$46),"")</f>
        <v/>
      </c>
      <c r="AH42" s="54" t="str">
        <f>IF(AND('Mapa final'!$AB$41="Baja",'Mapa final'!$AD$41="Catastrófico"),CONCATENATE("R7C",'Mapa final'!$R$41),"")</f>
        <v/>
      </c>
      <c r="AI42" s="55" t="str">
        <f>IF(AND('Mapa final'!$AB$42="Baja",'Mapa final'!$AD$42="Catastrófico"),CONCATENATE("R7C",'Mapa final'!$R$42),"")</f>
        <v/>
      </c>
      <c r="AJ42" s="55" t="str">
        <f>IF(AND('Mapa final'!$AB$43="Baja",'Mapa final'!$AD$43="Catastrófico"),CONCATENATE("R7C",'Mapa final'!$R$43),"")</f>
        <v/>
      </c>
      <c r="AK42" s="55" t="str">
        <f>IF(AND('Mapa final'!$AB$44="Baja",'Mapa final'!$AD$44="Catastrófico"),CONCATENATE("R7C",'Mapa final'!$R$44),"")</f>
        <v/>
      </c>
      <c r="AL42" s="55" t="str">
        <f>IF(AND('Mapa final'!$AB$45="Baja",'Mapa final'!$AD$45="Catastrófico"),CONCATENATE("R7C",'Mapa final'!$R$45),"")</f>
        <v/>
      </c>
      <c r="AM42" s="56" t="str">
        <f>IF(AND('Mapa final'!$AB$46="Baja",'Mapa final'!$AD$46="Catastrófico"),CONCATENATE("R7C",'Mapa final'!$R$46),"")</f>
        <v/>
      </c>
      <c r="AN42" s="82"/>
      <c r="AO42" s="385"/>
      <c r="AP42" s="386"/>
      <c r="AQ42" s="386"/>
      <c r="AR42" s="386"/>
      <c r="AS42" s="386"/>
      <c r="AT42" s="387"/>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266"/>
      <c r="C43" s="266"/>
      <c r="D43" s="267"/>
      <c r="E43" s="365"/>
      <c r="F43" s="364"/>
      <c r="G43" s="364"/>
      <c r="H43" s="364"/>
      <c r="I43" s="364"/>
      <c r="J43" s="75" t="str">
        <f>IF(AND('Mapa final'!$AB$47="Baja",'Mapa final'!$AD$47="Leve"),CONCATENATE("R8C",'Mapa final'!$R$47),"")</f>
        <v/>
      </c>
      <c r="K43" s="76" t="str">
        <f>IF(AND('Mapa final'!$AB$48="Baja",'Mapa final'!$AD$48="Leve"),CONCATENATE("R8C",'Mapa final'!$R$48),"")</f>
        <v/>
      </c>
      <c r="L43" s="76" t="str">
        <f>IF(AND('Mapa final'!$AB$49="Baja",'Mapa final'!$AD$49="Leve"),CONCATENATE("R8C",'Mapa final'!$R$49),"")</f>
        <v/>
      </c>
      <c r="M43" s="76" t="str">
        <f>IF(AND('Mapa final'!$AB$50="Baja",'Mapa final'!$AD$50="Leve"),CONCATENATE("R8C",'Mapa final'!$R$50),"")</f>
        <v/>
      </c>
      <c r="N43" s="76" t="str">
        <f>IF(AND('Mapa final'!$AB$51="Baja",'Mapa final'!$AD$51="Leve"),CONCATENATE("R8C",'Mapa final'!$R$51),"")</f>
        <v/>
      </c>
      <c r="O43" s="77" t="str">
        <f>IF(AND('Mapa final'!$AB$52="Baja",'Mapa final'!$AD$52="Leve"),CONCATENATE("R8C",'Mapa final'!$R$52),"")</f>
        <v/>
      </c>
      <c r="P43" s="66" t="str">
        <f>IF(AND('Mapa final'!$AB$47="Baja",'Mapa final'!$AD$47="Menor"),CONCATENATE("R8C",'Mapa final'!$R$47),"")</f>
        <v/>
      </c>
      <c r="Q43" s="67" t="str">
        <f>IF(AND('Mapa final'!$AB$48="Baja",'Mapa final'!$AD$48="Menor"),CONCATENATE("R8C",'Mapa final'!$R$48),"")</f>
        <v/>
      </c>
      <c r="R43" s="67" t="str">
        <f>IF(AND('Mapa final'!$AB$49="Baja",'Mapa final'!$AD$49="Menor"),CONCATENATE("R8C",'Mapa final'!$R$49),"")</f>
        <v/>
      </c>
      <c r="S43" s="67" t="str">
        <f>IF(AND('Mapa final'!$AB$50="Baja",'Mapa final'!$AD$50="Menor"),CONCATENATE("R8C",'Mapa final'!$R$50),"")</f>
        <v/>
      </c>
      <c r="T43" s="67" t="str">
        <f>IF(AND('Mapa final'!$AB$51="Baja",'Mapa final'!$AD$51="Menor"),CONCATENATE("R8C",'Mapa final'!$R$51),"")</f>
        <v/>
      </c>
      <c r="U43" s="68" t="str">
        <f>IF(AND('Mapa final'!$AB$52="Baja",'Mapa final'!$AD$52="Menor"),CONCATENATE("R8C",'Mapa final'!$R$52),"")</f>
        <v/>
      </c>
      <c r="V43" s="66" t="str">
        <f>IF(AND('Mapa final'!$AB$47="Baja",'Mapa final'!$AD$47="Moderado"),CONCATENATE("R8C",'Mapa final'!$R$47),"")</f>
        <v/>
      </c>
      <c r="W43" s="67" t="str">
        <f>IF(AND('Mapa final'!$AB$48="Baja",'Mapa final'!$AD$48="Moderado"),CONCATENATE("R8C",'Mapa final'!$R$48),"")</f>
        <v/>
      </c>
      <c r="X43" s="67" t="str">
        <f>IF(AND('Mapa final'!$AB$49="Baja",'Mapa final'!$AD$49="Moderado"),CONCATENATE("R8C",'Mapa final'!$R$49),"")</f>
        <v/>
      </c>
      <c r="Y43" s="67" t="str">
        <f>IF(AND('Mapa final'!$AB$50="Baja",'Mapa final'!$AD$50="Moderado"),CONCATENATE("R8C",'Mapa final'!$R$50),"")</f>
        <v/>
      </c>
      <c r="Z43" s="67" t="str">
        <f>IF(AND('Mapa final'!$AB$51="Baja",'Mapa final'!$AD$51="Moderado"),CONCATENATE("R8C",'Mapa final'!$R$51),"")</f>
        <v/>
      </c>
      <c r="AA43" s="68" t="str">
        <f>IF(AND('Mapa final'!$AB$52="Baja",'Mapa final'!$AD$52="Moderado"),CONCATENATE("R8C",'Mapa final'!$R$52),"")</f>
        <v/>
      </c>
      <c r="AB43" s="51" t="str">
        <f>IF(AND('Mapa final'!$AB$47="Baja",'Mapa final'!$AD$47="Mayor"),CONCATENATE("R8C",'Mapa final'!$R$47),"")</f>
        <v/>
      </c>
      <c r="AC43" s="52" t="str">
        <f>IF(AND('Mapa final'!$AB$48="Baja",'Mapa final'!$AD$48="Mayor"),CONCATENATE("R8C",'Mapa final'!$R$48),"")</f>
        <v/>
      </c>
      <c r="AD43" s="52" t="str">
        <f>IF(AND('Mapa final'!$AB$49="Baja",'Mapa final'!$AD$49="Mayor"),CONCATENATE("R8C",'Mapa final'!$R$49),"")</f>
        <v/>
      </c>
      <c r="AE43" s="52" t="str">
        <f>IF(AND('Mapa final'!$AB$50="Baja",'Mapa final'!$AD$50="Mayor"),CONCATENATE("R8C",'Mapa final'!$R$50),"")</f>
        <v/>
      </c>
      <c r="AF43" s="52" t="str">
        <f>IF(AND('Mapa final'!$AB$51="Baja",'Mapa final'!$AD$51="Mayor"),CONCATENATE("R8C",'Mapa final'!$R$51),"")</f>
        <v/>
      </c>
      <c r="AG43" s="53" t="str">
        <f>IF(AND('Mapa final'!$AB$52="Baja",'Mapa final'!$AD$52="Mayor"),CONCATENATE("R8C",'Mapa final'!$R$52),"")</f>
        <v/>
      </c>
      <c r="AH43" s="54" t="str">
        <f>IF(AND('Mapa final'!$AB$47="Baja",'Mapa final'!$AD$47="Catastrófico"),CONCATENATE("R8C",'Mapa final'!$R$47),"")</f>
        <v/>
      </c>
      <c r="AI43" s="55" t="str">
        <f>IF(AND('Mapa final'!$AB$48="Baja",'Mapa final'!$AD$48="Catastrófico"),CONCATENATE("R8C",'Mapa final'!$R$48),"")</f>
        <v/>
      </c>
      <c r="AJ43" s="55" t="str">
        <f>IF(AND('Mapa final'!$AB$49="Baja",'Mapa final'!$AD$49="Catastrófico"),CONCATENATE("R8C",'Mapa final'!$R$49),"")</f>
        <v/>
      </c>
      <c r="AK43" s="55" t="str">
        <f>IF(AND('Mapa final'!$AB$50="Baja",'Mapa final'!$AD$50="Catastrófico"),CONCATENATE("R8C",'Mapa final'!$R$50),"")</f>
        <v/>
      </c>
      <c r="AL43" s="55" t="str">
        <f>IF(AND('Mapa final'!$AB$51="Baja",'Mapa final'!$AD$51="Catastrófico"),CONCATENATE("R8C",'Mapa final'!$R$51),"")</f>
        <v/>
      </c>
      <c r="AM43" s="56" t="str">
        <f>IF(AND('Mapa final'!$AB$52="Baja",'Mapa final'!$AD$52="Catastrófico"),CONCATENATE("R8C",'Mapa final'!$R$52),"")</f>
        <v/>
      </c>
      <c r="AN43" s="82"/>
      <c r="AO43" s="385"/>
      <c r="AP43" s="386"/>
      <c r="AQ43" s="386"/>
      <c r="AR43" s="386"/>
      <c r="AS43" s="386"/>
      <c r="AT43" s="387"/>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266"/>
      <c r="C44" s="266"/>
      <c r="D44" s="267"/>
      <c r="E44" s="365"/>
      <c r="F44" s="364"/>
      <c r="G44" s="364"/>
      <c r="H44" s="364"/>
      <c r="I44" s="364"/>
      <c r="J44" s="75" t="str">
        <f>IF(AND('Mapa final'!$AB$53="Baja",'Mapa final'!$AD$53="Leve"),CONCATENATE("R9C",'Mapa final'!$R$53),"")</f>
        <v/>
      </c>
      <c r="K44" s="76" t="str">
        <f>IF(AND('Mapa final'!$AB$54="Baja",'Mapa final'!$AD$54="Leve"),CONCATENATE("R9C",'Mapa final'!$R$54),"")</f>
        <v/>
      </c>
      <c r="L44" s="76" t="str">
        <f>IF(AND('Mapa final'!$AB$55="Baja",'Mapa final'!$AD$55="Leve"),CONCATENATE("R9C",'Mapa final'!$R$55),"")</f>
        <v/>
      </c>
      <c r="M44" s="76" t="str">
        <f>IF(AND('Mapa final'!$AB$56="Baja",'Mapa final'!$AD$56="Leve"),CONCATENATE("R9C",'Mapa final'!$R$56),"")</f>
        <v/>
      </c>
      <c r="N44" s="76" t="str">
        <f>IF(AND('Mapa final'!$AB$57="Baja",'Mapa final'!$AD$57="Leve"),CONCATENATE("R9C",'Mapa final'!$R$57),"")</f>
        <v/>
      </c>
      <c r="O44" s="77" t="str">
        <f>IF(AND('Mapa final'!$AB$58="Baja",'Mapa final'!$AD$58="Leve"),CONCATENATE("R9C",'Mapa final'!$R$58),"")</f>
        <v/>
      </c>
      <c r="P44" s="66" t="str">
        <f>IF(AND('Mapa final'!$AB$53="Baja",'Mapa final'!$AD$53="Menor"),CONCATENATE("R9C",'Mapa final'!$R$53),"")</f>
        <v/>
      </c>
      <c r="Q44" s="67" t="str">
        <f>IF(AND('Mapa final'!$AB$54="Baja",'Mapa final'!$AD$54="Menor"),CONCATENATE("R9C",'Mapa final'!$R$54),"")</f>
        <v/>
      </c>
      <c r="R44" s="67" t="str">
        <f>IF(AND('Mapa final'!$AB$55="Baja",'Mapa final'!$AD$55="Menor"),CONCATENATE("R9C",'Mapa final'!$R$55),"")</f>
        <v/>
      </c>
      <c r="S44" s="67" t="str">
        <f>IF(AND('Mapa final'!$AB$56="Baja",'Mapa final'!$AD$56="Menor"),CONCATENATE("R9C",'Mapa final'!$R$56),"")</f>
        <v/>
      </c>
      <c r="T44" s="67" t="str">
        <f>IF(AND('Mapa final'!$AB$57="Baja",'Mapa final'!$AD$57="Menor"),CONCATENATE("R9C",'Mapa final'!$R$57),"")</f>
        <v/>
      </c>
      <c r="U44" s="68" t="str">
        <f>IF(AND('Mapa final'!$AB$58="Baja",'Mapa final'!$AD$58="Menor"),CONCATENATE("R9C",'Mapa final'!$R$58),"")</f>
        <v/>
      </c>
      <c r="V44" s="66" t="str">
        <f>IF(AND('Mapa final'!$AB$53="Baja",'Mapa final'!$AD$53="Moderado"),CONCATENATE("R9C",'Mapa final'!$R$53),"")</f>
        <v/>
      </c>
      <c r="W44" s="67" t="str">
        <f>IF(AND('Mapa final'!$AB$54="Baja",'Mapa final'!$AD$54="Moderado"),CONCATENATE("R9C",'Mapa final'!$R$54),"")</f>
        <v/>
      </c>
      <c r="X44" s="67" t="str">
        <f>IF(AND('Mapa final'!$AB$55="Baja",'Mapa final'!$AD$55="Moderado"),CONCATENATE("R9C",'Mapa final'!$R$55),"")</f>
        <v/>
      </c>
      <c r="Y44" s="67" t="str">
        <f>IF(AND('Mapa final'!$AB$56="Baja",'Mapa final'!$AD$56="Moderado"),CONCATENATE("R9C",'Mapa final'!$R$56),"")</f>
        <v/>
      </c>
      <c r="Z44" s="67" t="str">
        <f>IF(AND('Mapa final'!$AB$57="Baja",'Mapa final'!$AD$57="Moderado"),CONCATENATE("R9C",'Mapa final'!$R$57),"")</f>
        <v/>
      </c>
      <c r="AA44" s="68" t="str">
        <f>IF(AND('Mapa final'!$AB$58="Baja",'Mapa final'!$AD$58="Moderado"),CONCATENATE("R9C",'Mapa final'!$R$58),"")</f>
        <v/>
      </c>
      <c r="AB44" s="51" t="str">
        <f>IF(AND('Mapa final'!$AB$53="Baja",'Mapa final'!$AD$53="Mayor"),CONCATENATE("R9C",'Mapa final'!$R$53),"")</f>
        <v/>
      </c>
      <c r="AC44" s="52" t="str">
        <f>IF(AND('Mapa final'!$AB$54="Baja",'Mapa final'!$AD$54="Mayor"),CONCATENATE("R9C",'Mapa final'!$R$54),"")</f>
        <v/>
      </c>
      <c r="AD44" s="52" t="str">
        <f>IF(AND('Mapa final'!$AB$55="Baja",'Mapa final'!$AD$55="Mayor"),CONCATENATE("R9C",'Mapa final'!$R$55),"")</f>
        <v/>
      </c>
      <c r="AE44" s="52" t="str">
        <f>IF(AND('Mapa final'!$AB$56="Baja",'Mapa final'!$AD$56="Mayor"),CONCATENATE("R9C",'Mapa final'!$R$56),"")</f>
        <v/>
      </c>
      <c r="AF44" s="52" t="str">
        <f>IF(AND('Mapa final'!$AB$57="Baja",'Mapa final'!$AD$57="Mayor"),CONCATENATE("R9C",'Mapa final'!$R$57),"")</f>
        <v/>
      </c>
      <c r="AG44" s="53" t="str">
        <f>IF(AND('Mapa final'!$AB$58="Baja",'Mapa final'!$AD$58="Mayor"),CONCATENATE("R9C",'Mapa final'!$R$58),"")</f>
        <v/>
      </c>
      <c r="AH44" s="54" t="str">
        <f>IF(AND('Mapa final'!$AB$53="Baja",'Mapa final'!$AD$53="Catastrófico"),CONCATENATE("R9C",'Mapa final'!$R$53),"")</f>
        <v/>
      </c>
      <c r="AI44" s="55" t="str">
        <f>IF(AND('Mapa final'!$AB$54="Baja",'Mapa final'!$AD$54="Catastrófico"),CONCATENATE("R9C",'Mapa final'!$R$54),"")</f>
        <v/>
      </c>
      <c r="AJ44" s="55" t="str">
        <f>IF(AND('Mapa final'!$AB$55="Baja",'Mapa final'!$AD$55="Catastrófico"),CONCATENATE("R9C",'Mapa final'!$R$55),"")</f>
        <v/>
      </c>
      <c r="AK44" s="55" t="str">
        <f>IF(AND('Mapa final'!$AB$56="Baja",'Mapa final'!$AD$56="Catastrófico"),CONCATENATE("R9C",'Mapa final'!$R$56),"")</f>
        <v/>
      </c>
      <c r="AL44" s="55" t="str">
        <f>IF(AND('Mapa final'!$AB$57="Baja",'Mapa final'!$AD$57="Catastrófico"),CONCATENATE("R9C",'Mapa final'!$R$57),"")</f>
        <v/>
      </c>
      <c r="AM44" s="56" t="str">
        <f>IF(AND('Mapa final'!$AB$58="Baja",'Mapa final'!$AD$58="Catastrófico"),CONCATENATE("R9C",'Mapa final'!$R$58),"")</f>
        <v/>
      </c>
      <c r="AN44" s="82"/>
      <c r="AO44" s="385"/>
      <c r="AP44" s="386"/>
      <c r="AQ44" s="386"/>
      <c r="AR44" s="386"/>
      <c r="AS44" s="386"/>
      <c r="AT44" s="387"/>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266"/>
      <c r="C45" s="266"/>
      <c r="D45" s="267"/>
      <c r="E45" s="366"/>
      <c r="F45" s="367"/>
      <c r="G45" s="367"/>
      <c r="H45" s="367"/>
      <c r="I45" s="367"/>
      <c r="J45" s="78" t="str">
        <f>IF(AND('Mapa final'!$AB$59="Baja",'Mapa final'!$AD$59="Leve"),CONCATENATE("R10C",'Mapa final'!$R$59),"")</f>
        <v/>
      </c>
      <c r="K45" s="79" t="str">
        <f>IF(AND('Mapa final'!$AB$60="Baja",'Mapa final'!$AD$60="Leve"),CONCATENATE("R10C",'Mapa final'!$R$60),"")</f>
        <v/>
      </c>
      <c r="L45" s="79" t="str">
        <f>IF(AND('Mapa final'!$AB$61="Baja",'Mapa final'!$AD$61="Leve"),CONCATENATE("R10C",'Mapa final'!$R$61),"")</f>
        <v/>
      </c>
      <c r="M45" s="79" t="str">
        <f>IF(AND('Mapa final'!$AB$62="Baja",'Mapa final'!$AD$62="Leve"),CONCATENATE("R10C",'Mapa final'!$R$62),"")</f>
        <v/>
      </c>
      <c r="N45" s="79" t="str">
        <f>IF(AND('Mapa final'!$AB$63="Baja",'Mapa final'!$AD$63="Leve"),CONCATENATE("R10C",'Mapa final'!$R$63),"")</f>
        <v/>
      </c>
      <c r="O45" s="80" t="str">
        <f>IF(AND('Mapa final'!$AB$64="Baja",'Mapa final'!$AD$64="Leve"),CONCATENATE("R10C",'Mapa final'!$R$64),"")</f>
        <v/>
      </c>
      <c r="P45" s="66" t="str">
        <f>IF(AND('Mapa final'!$AB$59="Baja",'Mapa final'!$AD$59="Menor"),CONCATENATE("R10C",'Mapa final'!$R$59),"")</f>
        <v/>
      </c>
      <c r="Q45" s="67" t="str">
        <f>IF(AND('Mapa final'!$AB$60="Baja",'Mapa final'!$AD$60="Menor"),CONCATENATE("R10C",'Mapa final'!$R$60),"")</f>
        <v/>
      </c>
      <c r="R45" s="67" t="str">
        <f>IF(AND('Mapa final'!$AB$61="Baja",'Mapa final'!$AD$61="Menor"),CONCATENATE("R10C",'Mapa final'!$R$61),"")</f>
        <v/>
      </c>
      <c r="S45" s="67" t="str">
        <f>IF(AND('Mapa final'!$AB$62="Baja",'Mapa final'!$AD$62="Menor"),CONCATENATE("R10C",'Mapa final'!$R$62),"")</f>
        <v/>
      </c>
      <c r="T45" s="67" t="str">
        <f>IF(AND('Mapa final'!$AB$63="Baja",'Mapa final'!$AD$63="Menor"),CONCATENATE("R10C",'Mapa final'!$R$63),"")</f>
        <v/>
      </c>
      <c r="U45" s="68" t="str">
        <f>IF(AND('Mapa final'!$AB$64="Baja",'Mapa final'!$AD$64="Menor"),CONCATENATE("R10C",'Mapa final'!$R$64),"")</f>
        <v/>
      </c>
      <c r="V45" s="69" t="str">
        <f>IF(AND('Mapa final'!$AB$59="Baja",'Mapa final'!$AD$59="Moderado"),CONCATENATE("R10C",'Mapa final'!$R$59),"")</f>
        <v/>
      </c>
      <c r="W45" s="70" t="str">
        <f>IF(AND('Mapa final'!$AB$60="Baja",'Mapa final'!$AD$60="Moderado"),CONCATENATE("R10C",'Mapa final'!$R$60),"")</f>
        <v/>
      </c>
      <c r="X45" s="70" t="str">
        <f>IF(AND('Mapa final'!$AB$61="Baja",'Mapa final'!$AD$61="Moderado"),CONCATENATE("R10C",'Mapa final'!$R$61),"")</f>
        <v/>
      </c>
      <c r="Y45" s="70" t="str">
        <f>IF(AND('Mapa final'!$AB$62="Baja",'Mapa final'!$AD$62="Moderado"),CONCATENATE("R10C",'Mapa final'!$R$62),"")</f>
        <v/>
      </c>
      <c r="Z45" s="70" t="str">
        <f>IF(AND('Mapa final'!$AB$63="Baja",'Mapa final'!$AD$63="Moderado"),CONCATENATE("R10C",'Mapa final'!$R$63),"")</f>
        <v/>
      </c>
      <c r="AA45" s="71" t="str">
        <f>IF(AND('Mapa final'!$AB$64="Baja",'Mapa final'!$AD$64="Moderado"),CONCATENATE("R10C",'Mapa final'!$R$64),"")</f>
        <v/>
      </c>
      <c r="AB45" s="57" t="str">
        <f>IF(AND('Mapa final'!$AB$59="Baja",'Mapa final'!$AD$59="Mayor"),CONCATENATE("R10C",'Mapa final'!$R$59),"")</f>
        <v/>
      </c>
      <c r="AC45" s="58" t="str">
        <f>IF(AND('Mapa final'!$AB$60="Baja",'Mapa final'!$AD$60="Mayor"),CONCATENATE("R10C",'Mapa final'!$R$60),"")</f>
        <v/>
      </c>
      <c r="AD45" s="58" t="str">
        <f>IF(AND('Mapa final'!$AB$61="Baja",'Mapa final'!$AD$61="Mayor"),CONCATENATE("R10C",'Mapa final'!$R$61),"")</f>
        <v/>
      </c>
      <c r="AE45" s="58" t="str">
        <f>IF(AND('Mapa final'!$AB$62="Baja",'Mapa final'!$AD$62="Mayor"),CONCATENATE("R10C",'Mapa final'!$R$62),"")</f>
        <v/>
      </c>
      <c r="AF45" s="58" t="str">
        <f>IF(AND('Mapa final'!$AB$63="Baja",'Mapa final'!$AD$63="Mayor"),CONCATENATE("R10C",'Mapa final'!$R$63),"")</f>
        <v/>
      </c>
      <c r="AG45" s="59" t="str">
        <f>IF(AND('Mapa final'!$AB$64="Baja",'Mapa final'!$AD$64="Mayor"),CONCATENATE("R10C",'Mapa final'!$R$64),"")</f>
        <v/>
      </c>
      <c r="AH45" s="60" t="str">
        <f>IF(AND('Mapa final'!$AB$59="Baja",'Mapa final'!$AD$59="Catastrófico"),CONCATENATE("R10C",'Mapa final'!$R$59),"")</f>
        <v/>
      </c>
      <c r="AI45" s="61" t="str">
        <f>IF(AND('Mapa final'!$AB$60="Baja",'Mapa final'!$AD$60="Catastrófico"),CONCATENATE("R10C",'Mapa final'!$R$60),"")</f>
        <v/>
      </c>
      <c r="AJ45" s="61" t="str">
        <f>IF(AND('Mapa final'!$AB$61="Baja",'Mapa final'!$AD$61="Catastrófico"),CONCATENATE("R10C",'Mapa final'!$R$61),"")</f>
        <v/>
      </c>
      <c r="AK45" s="61" t="str">
        <f>IF(AND('Mapa final'!$AB$62="Baja",'Mapa final'!$AD$62="Catastrófico"),CONCATENATE("R10C",'Mapa final'!$R$62),"")</f>
        <v/>
      </c>
      <c r="AL45" s="61" t="str">
        <f>IF(AND('Mapa final'!$AB$63="Baja",'Mapa final'!$AD$63="Catastrófico"),CONCATENATE("R10C",'Mapa final'!$R$63),"")</f>
        <v/>
      </c>
      <c r="AM45" s="62" t="str">
        <f>IF(AND('Mapa final'!$AB$64="Baja",'Mapa final'!$AD$64="Catastrófico"),CONCATENATE("R10C",'Mapa final'!$R$64),"")</f>
        <v/>
      </c>
      <c r="AN45" s="82"/>
      <c r="AO45" s="388"/>
      <c r="AP45" s="389"/>
      <c r="AQ45" s="389"/>
      <c r="AR45" s="389"/>
      <c r="AS45" s="389"/>
      <c r="AT45" s="390"/>
    </row>
    <row r="46" spans="1:80" ht="46.5" customHeight="1" x14ac:dyDescent="0.35">
      <c r="A46" s="82"/>
      <c r="B46" s="266"/>
      <c r="C46" s="266"/>
      <c r="D46" s="267"/>
      <c r="E46" s="361" t="s">
        <v>105</v>
      </c>
      <c r="F46" s="362"/>
      <c r="G46" s="362"/>
      <c r="H46" s="362"/>
      <c r="I46" s="379"/>
      <c r="J46" s="72" t="str">
        <f ca="1">IF(AND('Mapa final'!$AB$11="Muy Baja",'Mapa final'!$AD$11="Leve"),CONCATENATE("R1C",'Mapa final'!$R$11),"")</f>
        <v/>
      </c>
      <c r="K46" s="73" t="str">
        <f ca="1">IF(AND('Mapa final'!$AB$12="Muy Baja",'Mapa final'!$AD$12="Leve"),CONCATENATE("R1C",'Mapa final'!$R$12),"")</f>
        <v/>
      </c>
      <c r="L46" s="73" t="str">
        <f>IF(AND('Mapa final'!$AB$13="Muy Baja",'Mapa final'!$AD$13="Leve"),CONCATENATE("R1C",'Mapa final'!$R$13),"")</f>
        <v/>
      </c>
      <c r="M46" s="73" t="str">
        <f>IF(AND('Mapa final'!$AB$14="Muy Baja",'Mapa final'!$AD$14="Leve"),CONCATENATE("R1C",'Mapa final'!$R$14),"")</f>
        <v/>
      </c>
      <c r="N46" s="73" t="str">
        <f>IF(AND('Mapa final'!$AB$15="Muy Baja",'Mapa final'!$AD$15="Leve"),CONCATENATE("R1C",'Mapa final'!$R$15),"")</f>
        <v/>
      </c>
      <c r="O46" s="74" t="str">
        <f>IF(AND('Mapa final'!$AB$16="Muy Baja",'Mapa final'!$AD$16="Leve"),CONCATENATE("R1C",'Mapa final'!$R$16),"")</f>
        <v/>
      </c>
      <c r="P46" s="72" t="str">
        <f ca="1">IF(AND('Mapa final'!$AB$11="Muy Baja",'Mapa final'!$AD$11="Menor"),CONCATENATE("R1C",'Mapa final'!$R$11),"")</f>
        <v/>
      </c>
      <c r="Q46" s="73" t="str">
        <f ca="1">IF(AND('Mapa final'!$AB$12="Muy Baja",'Mapa final'!$AD$12="Menor"),CONCATENATE("R1C",'Mapa final'!$R$12),"")</f>
        <v/>
      </c>
      <c r="R46" s="73" t="str">
        <f>IF(AND('Mapa final'!$AB$13="Muy Baja",'Mapa final'!$AD$13="Menor"),CONCATENATE("R1C",'Mapa final'!$R$13),"")</f>
        <v/>
      </c>
      <c r="S46" s="73" t="str">
        <f>IF(AND('Mapa final'!$AB$14="Muy Baja",'Mapa final'!$AD$14="Menor"),CONCATENATE("R1C",'Mapa final'!$R$14),"")</f>
        <v/>
      </c>
      <c r="T46" s="73" t="str">
        <f>IF(AND('Mapa final'!$AB$15="Muy Baja",'Mapa final'!$AD$15="Menor"),CONCATENATE("R1C",'Mapa final'!$R$15),"")</f>
        <v/>
      </c>
      <c r="U46" s="74" t="str">
        <f>IF(AND('Mapa final'!$AB$16="Muy Baja",'Mapa final'!$AD$16="Menor"),CONCATENATE("R1C",'Mapa final'!$R$16),"")</f>
        <v/>
      </c>
      <c r="V46" s="63" t="str">
        <f ca="1">IF(AND('Mapa final'!$AB$11="Muy Baja",'Mapa final'!$AD$11="Moderado"),CONCATENATE("R1C",'Mapa final'!$R$11),"")</f>
        <v/>
      </c>
      <c r="W46" s="81" t="str">
        <f ca="1">IF(AND('Mapa final'!$AB$12="Muy Baja",'Mapa final'!$AD$12="Moderado"),CONCATENATE("R1C",'Mapa final'!$R$12),"")</f>
        <v/>
      </c>
      <c r="X46" s="64" t="str">
        <f>IF(AND('Mapa final'!$AB$13="Muy Baja",'Mapa final'!$AD$13="Moderado"),CONCATENATE("R1C",'Mapa final'!$R$13),"")</f>
        <v/>
      </c>
      <c r="Y46" s="64" t="str">
        <f>IF(AND('Mapa final'!$AB$14="Muy Baja",'Mapa final'!$AD$14="Moderado"),CONCATENATE("R1C",'Mapa final'!$R$14),"")</f>
        <v/>
      </c>
      <c r="Z46" s="64" t="str">
        <f>IF(AND('Mapa final'!$AB$15="Muy Baja",'Mapa final'!$AD$15="Moderado"),CONCATENATE("R1C",'Mapa final'!$R$15),"")</f>
        <v/>
      </c>
      <c r="AA46" s="65" t="str">
        <f>IF(AND('Mapa final'!$AB$16="Muy Baja",'Mapa final'!$AD$16="Moderado"),CONCATENATE("R1C",'Mapa final'!$R$16),"")</f>
        <v/>
      </c>
      <c r="AB46" s="45" t="str">
        <f ca="1">IF(AND('Mapa final'!$AB$11="Muy Baja",'Mapa final'!$AD$11="Mayor"),CONCATENATE("R1C",'Mapa final'!$R$11),"")</f>
        <v/>
      </c>
      <c r="AC46" s="46" t="str">
        <f ca="1">IF(AND('Mapa final'!$AB$12="Muy Baja",'Mapa final'!$AD$12="Mayor"),CONCATENATE("R1C",'Mapa final'!$R$12),"")</f>
        <v/>
      </c>
      <c r="AD46" s="46" t="str">
        <f>IF(AND('Mapa final'!$AB$13="Muy Baja",'Mapa final'!$AD$13="Mayor"),CONCATENATE("R1C",'Mapa final'!$R$13),"")</f>
        <v/>
      </c>
      <c r="AE46" s="46" t="str">
        <f>IF(AND('Mapa final'!$AB$14="Muy Baja",'Mapa final'!$AD$14="Mayor"),CONCATENATE("R1C",'Mapa final'!$R$14),"")</f>
        <v/>
      </c>
      <c r="AF46" s="46" t="str">
        <f>IF(AND('Mapa final'!$AB$15="Muy Baja",'Mapa final'!$AD$15="Mayor"),CONCATENATE("R1C",'Mapa final'!$R$15),"")</f>
        <v/>
      </c>
      <c r="AG46" s="47" t="str">
        <f>IF(AND('Mapa final'!$AB$16="Muy Baja",'Mapa final'!$AD$16="Mayor"),CONCATENATE("R1C",'Mapa final'!$R$16),"")</f>
        <v/>
      </c>
      <c r="AH46" s="48" t="str">
        <f ca="1">IF(AND('Mapa final'!$AB$11="Muy Baja",'Mapa final'!$AD$11="Catastrófico"),CONCATENATE("R1C",'Mapa final'!$R$11),"")</f>
        <v/>
      </c>
      <c r="AI46" s="49" t="str">
        <f ca="1">IF(AND('Mapa final'!$AB$12="Muy Baja",'Mapa final'!$AD$12="Catastrófico"),CONCATENATE("R1C",'Mapa final'!$R$12),"")</f>
        <v/>
      </c>
      <c r="AJ46" s="49" t="str">
        <f>IF(AND('Mapa final'!$AB$13="Muy Baja",'Mapa final'!$AD$13="Catastrófico"),CONCATENATE("R1C",'Mapa final'!$R$13),"")</f>
        <v/>
      </c>
      <c r="AK46" s="49" t="str">
        <f>IF(AND('Mapa final'!$AB$14="Muy Baja",'Mapa final'!$AD$14="Catastrófico"),CONCATENATE("R1C",'Mapa final'!$R$14),"")</f>
        <v/>
      </c>
      <c r="AL46" s="49" t="str">
        <f>IF(AND('Mapa final'!$AB$15="Muy Baja",'Mapa final'!$AD$15="Catastrófico"),CONCATENATE("R1C",'Mapa final'!$R$15),"")</f>
        <v/>
      </c>
      <c r="AM46" s="50" t="str">
        <f>IF(AND('Mapa final'!$AB$16="Muy Baja",'Mapa final'!$AD$16="Catastrófico"),CONCATENATE("R1C",'Mapa final'!$R$16),"")</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266"/>
      <c r="C47" s="266"/>
      <c r="D47" s="267"/>
      <c r="E47" s="363"/>
      <c r="F47" s="364"/>
      <c r="G47" s="364"/>
      <c r="H47" s="364"/>
      <c r="I47" s="380"/>
      <c r="J47" s="75" t="str">
        <f ca="1">IF(AND('Mapa final'!$AB$17="Muy Baja",'Mapa final'!$AD$17="Leve"),CONCATENATE("R2C",'Mapa final'!$R$17),"")</f>
        <v/>
      </c>
      <c r="K47" s="76" t="str">
        <f>IF(AND('Mapa final'!$AB$18="Muy Baja",'Mapa final'!$AD$18="Leve"),CONCATENATE("R2C",'Mapa final'!$R$18),"")</f>
        <v/>
      </c>
      <c r="L47" s="76" t="str">
        <f>IF(AND('Mapa final'!$AB$19="Muy Baja",'Mapa final'!$AD$19="Leve"),CONCATENATE("R2C",'Mapa final'!$R$19),"")</f>
        <v/>
      </c>
      <c r="M47" s="76" t="str">
        <f>IF(AND('Mapa final'!$AB$20="Muy Baja",'Mapa final'!$AD$20="Leve"),CONCATENATE("R2C",'Mapa final'!$R$20),"")</f>
        <v/>
      </c>
      <c r="N47" s="76" t="str">
        <f>IF(AND('Mapa final'!$AB$21="Muy Baja",'Mapa final'!$AD$21="Leve"),CONCATENATE("R2C",'Mapa final'!$R$21),"")</f>
        <v/>
      </c>
      <c r="O47" s="77" t="str">
        <f>IF(AND('Mapa final'!$AB$22="Muy Baja",'Mapa final'!$AD$22="Leve"),CONCATENATE("R2C",'Mapa final'!$R$22),"")</f>
        <v/>
      </c>
      <c r="P47" s="75" t="str">
        <f ca="1">IF(AND('Mapa final'!$AB$17="Muy Baja",'Mapa final'!$AD$17="Menor"),CONCATENATE("R2C",'Mapa final'!$R$17),"")</f>
        <v/>
      </c>
      <c r="Q47" s="76" t="str">
        <f>IF(AND('Mapa final'!$AB$18="Muy Baja",'Mapa final'!$AD$18="Menor"),CONCATENATE("R2C",'Mapa final'!$R$18),"")</f>
        <v/>
      </c>
      <c r="R47" s="76" t="str">
        <f>IF(AND('Mapa final'!$AB$19="Muy Baja",'Mapa final'!$AD$19="Menor"),CONCATENATE("R2C",'Mapa final'!$R$19),"")</f>
        <v/>
      </c>
      <c r="S47" s="76" t="str">
        <f>IF(AND('Mapa final'!$AB$20="Muy Baja",'Mapa final'!$AD$20="Menor"),CONCATENATE("R2C",'Mapa final'!$R$20),"")</f>
        <v/>
      </c>
      <c r="T47" s="76" t="str">
        <f>IF(AND('Mapa final'!$AB$21="Muy Baja",'Mapa final'!$AD$21="Menor"),CONCATENATE("R2C",'Mapa final'!$R$21),"")</f>
        <v/>
      </c>
      <c r="U47" s="77" t="str">
        <f>IF(AND('Mapa final'!$AB$22="Muy Baja",'Mapa final'!$AD$22="Menor"),CONCATENATE("R2C",'Mapa final'!$R$22),"")</f>
        <v/>
      </c>
      <c r="V47" s="66" t="str">
        <f ca="1">IF(AND('Mapa final'!$AB$17="Muy Baja",'Mapa final'!$AD$17="Moderado"),CONCATENATE("R2C",'Mapa final'!$R$17),"")</f>
        <v/>
      </c>
      <c r="W47" s="67" t="str">
        <f>IF(AND('Mapa final'!$AB$18="Muy Baja",'Mapa final'!$AD$18="Moderado"),CONCATENATE("R2C",'Mapa final'!$R$18),"")</f>
        <v/>
      </c>
      <c r="X47" s="67" t="str">
        <f>IF(AND('Mapa final'!$AB$19="Muy Baja",'Mapa final'!$AD$19="Moderado"),CONCATENATE("R2C",'Mapa final'!$R$19),"")</f>
        <v/>
      </c>
      <c r="Y47" s="67" t="str">
        <f>IF(AND('Mapa final'!$AB$20="Muy Baja",'Mapa final'!$AD$20="Moderado"),CONCATENATE("R2C",'Mapa final'!$R$20),"")</f>
        <v/>
      </c>
      <c r="Z47" s="67" t="str">
        <f>IF(AND('Mapa final'!$AB$21="Muy Baja",'Mapa final'!$AD$21="Moderado"),CONCATENATE("R2C",'Mapa final'!$R$21),"")</f>
        <v/>
      </c>
      <c r="AA47" s="68" t="str">
        <f>IF(AND('Mapa final'!$AB$22="Muy Baja",'Mapa final'!$AD$22="Moderado"),CONCATENATE("R2C",'Mapa final'!$R$22),"")</f>
        <v/>
      </c>
      <c r="AB47" s="51" t="str">
        <f ca="1">IF(AND('Mapa final'!$AB$17="Muy Baja",'Mapa final'!$AD$17="Mayor"),CONCATENATE("R2C",'Mapa final'!$R$17),"")</f>
        <v/>
      </c>
      <c r="AC47" s="52" t="str">
        <f>IF(AND('Mapa final'!$AB$18="Muy Baja",'Mapa final'!$AD$18="Mayor"),CONCATENATE("R2C",'Mapa final'!$R$18),"")</f>
        <v/>
      </c>
      <c r="AD47" s="52" t="str">
        <f>IF(AND('Mapa final'!$AB$19="Muy Baja",'Mapa final'!$AD$19="Mayor"),CONCATENATE("R2C",'Mapa final'!$R$19),"")</f>
        <v/>
      </c>
      <c r="AE47" s="52" t="str">
        <f>IF(AND('Mapa final'!$AB$20="Muy Baja",'Mapa final'!$AD$20="Mayor"),CONCATENATE("R2C",'Mapa final'!$R$20),"")</f>
        <v/>
      </c>
      <c r="AF47" s="52" t="str">
        <f>IF(AND('Mapa final'!$AB$21="Muy Baja",'Mapa final'!$AD$21="Mayor"),CONCATENATE("R2C",'Mapa final'!$R$21),"")</f>
        <v/>
      </c>
      <c r="AG47" s="53" t="str">
        <f>IF(AND('Mapa final'!$AB$22="Muy Baja",'Mapa final'!$AD$22="Mayor"),CONCATENATE("R2C",'Mapa final'!$R$22),"")</f>
        <v/>
      </c>
      <c r="AH47" s="54" t="str">
        <f ca="1">IF(AND('Mapa final'!$AB$17="Muy Baja",'Mapa final'!$AD$17="Catastrófico"),CONCATENATE("R2C",'Mapa final'!$R$17),"")</f>
        <v/>
      </c>
      <c r="AI47" s="55" t="str">
        <f>IF(AND('Mapa final'!$AB$18="Muy Baja",'Mapa final'!$AD$18="Catastrófico"),CONCATENATE("R2C",'Mapa final'!$R$18),"")</f>
        <v/>
      </c>
      <c r="AJ47" s="55" t="str">
        <f>IF(AND('Mapa final'!$AB$19="Muy Baja",'Mapa final'!$AD$19="Catastrófico"),CONCATENATE("R2C",'Mapa final'!$R$19),"")</f>
        <v/>
      </c>
      <c r="AK47" s="55" t="str">
        <f>IF(AND('Mapa final'!$AB$20="Muy Baja",'Mapa final'!$AD$20="Catastrófico"),CONCATENATE("R2C",'Mapa final'!$R$20),"")</f>
        <v/>
      </c>
      <c r="AL47" s="55" t="str">
        <f>IF(AND('Mapa final'!$AB$21="Muy Baja",'Mapa final'!$AD$21="Catastrófico"),CONCATENATE("R2C",'Mapa final'!$R$21),"")</f>
        <v/>
      </c>
      <c r="AM47" s="56" t="str">
        <f>IF(AND('Mapa final'!$AB$22="Muy Baja",'Mapa final'!$AD$22="Catastrófico"),CONCATENATE("R2C",'Mapa final'!$R$22),"")</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266"/>
      <c r="C48" s="266"/>
      <c r="D48" s="267"/>
      <c r="E48" s="363"/>
      <c r="F48" s="364"/>
      <c r="G48" s="364"/>
      <c r="H48" s="364"/>
      <c r="I48" s="380"/>
      <c r="J48" s="75" t="str">
        <f ca="1">IF(AND('Mapa final'!$AB$23="Muy Baja",'Mapa final'!$AD$23="Leve"),CONCATENATE("R3C",'Mapa final'!$R$23),"")</f>
        <v/>
      </c>
      <c r="K48" s="76" t="str">
        <f>IF(AND('Mapa final'!$AB$24="Muy Baja",'Mapa final'!$AD$24="Leve"),CONCATENATE("R3C",'Mapa final'!$R$24),"")</f>
        <v/>
      </c>
      <c r="L48" s="76" t="str">
        <f>IF(AND('Mapa final'!$AB$25="Muy Baja",'Mapa final'!$AD$25="Leve"),CONCATENATE("R3C",'Mapa final'!$R$25),"")</f>
        <v/>
      </c>
      <c r="M48" s="76" t="str">
        <f>IF(AND('Mapa final'!$AB$26="Muy Baja",'Mapa final'!$AD$26="Leve"),CONCATENATE("R3C",'Mapa final'!$R$26),"")</f>
        <v/>
      </c>
      <c r="N48" s="76" t="str">
        <f>IF(AND('Mapa final'!$AB$27="Muy Baja",'Mapa final'!$AD$27="Leve"),CONCATENATE("R3C",'Mapa final'!$R$27),"")</f>
        <v/>
      </c>
      <c r="O48" s="77" t="str">
        <f>IF(AND('Mapa final'!$AB$28="Muy Baja",'Mapa final'!$AD$28="Leve"),CONCATENATE("R3C",'Mapa final'!$R$28),"")</f>
        <v/>
      </c>
      <c r="P48" s="75" t="str">
        <f ca="1">IF(AND('Mapa final'!$AB$23="Muy Baja",'Mapa final'!$AD$23="Menor"),CONCATENATE("R3C",'Mapa final'!$R$23),"")</f>
        <v/>
      </c>
      <c r="Q48" s="76" t="str">
        <f>IF(AND('Mapa final'!$AB$24="Muy Baja",'Mapa final'!$AD$24="Menor"),CONCATENATE("R3C",'Mapa final'!$R$24),"")</f>
        <v/>
      </c>
      <c r="R48" s="76" t="str">
        <f>IF(AND('Mapa final'!$AB$25="Muy Baja",'Mapa final'!$AD$25="Menor"),CONCATENATE("R3C",'Mapa final'!$R$25),"")</f>
        <v/>
      </c>
      <c r="S48" s="76" t="str">
        <f>IF(AND('Mapa final'!$AB$26="Muy Baja",'Mapa final'!$AD$26="Menor"),CONCATENATE("R3C",'Mapa final'!$R$26),"")</f>
        <v/>
      </c>
      <c r="T48" s="76" t="str">
        <f>IF(AND('Mapa final'!$AB$27="Muy Baja",'Mapa final'!$AD$27="Menor"),CONCATENATE("R3C",'Mapa final'!$R$27),"")</f>
        <v/>
      </c>
      <c r="U48" s="77" t="str">
        <f>IF(AND('Mapa final'!$AB$28="Muy Baja",'Mapa final'!$AD$28="Menor"),CONCATENATE("R3C",'Mapa final'!$R$28),"")</f>
        <v/>
      </c>
      <c r="V48" s="66" t="str">
        <f ca="1">IF(AND('Mapa final'!$AB$23="Muy Baja",'Mapa final'!$AD$23="Moderado"),CONCATENATE("R3C",'Mapa final'!$R$23),"")</f>
        <v/>
      </c>
      <c r="W48" s="67" t="str">
        <f>IF(AND('Mapa final'!$AB$24="Muy Baja",'Mapa final'!$AD$24="Moderado"),CONCATENATE("R3C",'Mapa final'!$R$24),"")</f>
        <v/>
      </c>
      <c r="X48" s="67" t="str">
        <f>IF(AND('Mapa final'!$AB$25="Muy Baja",'Mapa final'!$AD$25="Moderado"),CONCATENATE("R3C",'Mapa final'!$R$25),"")</f>
        <v/>
      </c>
      <c r="Y48" s="67" t="str">
        <f>IF(AND('Mapa final'!$AB$26="Muy Baja",'Mapa final'!$AD$26="Moderado"),CONCATENATE("R3C",'Mapa final'!$R$26),"")</f>
        <v/>
      </c>
      <c r="Z48" s="67" t="str">
        <f>IF(AND('Mapa final'!$AB$27="Muy Baja",'Mapa final'!$AD$27="Moderado"),CONCATENATE("R3C",'Mapa final'!$R$27),"")</f>
        <v/>
      </c>
      <c r="AA48" s="68" t="str">
        <f>IF(AND('Mapa final'!$AB$28="Muy Baja",'Mapa final'!$AD$28="Moderado"),CONCATENATE("R3C",'Mapa final'!$R$28),"")</f>
        <v/>
      </c>
      <c r="AB48" s="51" t="str">
        <f ca="1">IF(AND('Mapa final'!$AB$23="Muy Baja",'Mapa final'!$AD$23="Mayor"),CONCATENATE("R3C",'Mapa final'!$R$23),"")</f>
        <v/>
      </c>
      <c r="AC48" s="52" t="str">
        <f>IF(AND('Mapa final'!$AB$24="Muy Baja",'Mapa final'!$AD$24="Mayor"),CONCATENATE("R3C",'Mapa final'!$R$24),"")</f>
        <v/>
      </c>
      <c r="AD48" s="52" t="str">
        <f>IF(AND('Mapa final'!$AB$25="Muy Baja",'Mapa final'!$AD$25="Mayor"),CONCATENATE("R3C",'Mapa final'!$R$25),"")</f>
        <v/>
      </c>
      <c r="AE48" s="52" t="str">
        <f>IF(AND('Mapa final'!$AB$26="Muy Baja",'Mapa final'!$AD$26="Mayor"),CONCATENATE("R3C",'Mapa final'!$R$26),"")</f>
        <v/>
      </c>
      <c r="AF48" s="52" t="str">
        <f>IF(AND('Mapa final'!$AB$27="Muy Baja",'Mapa final'!$AD$27="Mayor"),CONCATENATE("R3C",'Mapa final'!$R$27),"")</f>
        <v/>
      </c>
      <c r="AG48" s="53" t="str">
        <f>IF(AND('Mapa final'!$AB$28="Muy Baja",'Mapa final'!$AD$28="Mayor"),CONCATENATE("R3C",'Mapa final'!$R$28),"")</f>
        <v/>
      </c>
      <c r="AH48" s="54" t="str">
        <f ca="1">IF(AND('Mapa final'!$AB$23="Muy Baja",'Mapa final'!$AD$23="Catastrófico"),CONCATENATE("R3C",'Mapa final'!$R$23),"")</f>
        <v/>
      </c>
      <c r="AI48" s="55" t="str">
        <f>IF(AND('Mapa final'!$AB$24="Muy Baja",'Mapa final'!$AD$24="Catastrófico"),CONCATENATE("R3C",'Mapa final'!$R$24),"")</f>
        <v/>
      </c>
      <c r="AJ48" s="55" t="str">
        <f>IF(AND('Mapa final'!$AB$25="Muy Baja",'Mapa final'!$AD$25="Catastrófico"),CONCATENATE("R3C",'Mapa final'!$R$25),"")</f>
        <v/>
      </c>
      <c r="AK48" s="55" t="str">
        <f>IF(AND('Mapa final'!$AB$26="Muy Baja",'Mapa final'!$AD$26="Catastrófico"),CONCATENATE("R3C",'Mapa final'!$R$26),"")</f>
        <v/>
      </c>
      <c r="AL48" s="55" t="str">
        <f>IF(AND('Mapa final'!$AB$27="Muy Baja",'Mapa final'!$AD$27="Catastrófico"),CONCATENATE("R3C",'Mapa final'!$R$27),"")</f>
        <v/>
      </c>
      <c r="AM48" s="56" t="str">
        <f>IF(AND('Mapa final'!$AB$28="Muy Baja",'Mapa final'!$AD$28="Catastrófico"),CONCATENATE("R3C",'Mapa final'!$R$28),"")</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266"/>
      <c r="C49" s="266"/>
      <c r="D49" s="267"/>
      <c r="E49" s="365"/>
      <c r="F49" s="364"/>
      <c r="G49" s="364"/>
      <c r="H49" s="364"/>
      <c r="I49" s="380"/>
      <c r="J49" s="75" t="str">
        <f ca="1">IF(AND('Mapa final'!$AB$29="Muy Baja",'Mapa final'!$AD$29="Leve"),CONCATENATE("R4C",'Mapa final'!$R$29),"")</f>
        <v/>
      </c>
      <c r="K49" s="76" t="str">
        <f>IF(AND('Mapa final'!$AB$30="Muy Baja",'Mapa final'!$AD$30="Leve"),CONCATENATE("R4C",'Mapa final'!$R$30),"")</f>
        <v/>
      </c>
      <c r="L49" s="76" t="str">
        <f>IF(AND('Mapa final'!$AB$31="Muy Baja",'Mapa final'!$AD$31="Leve"),CONCATENATE("R4C",'Mapa final'!$R$31),"")</f>
        <v/>
      </c>
      <c r="M49" s="76" t="str">
        <f>IF(AND('Mapa final'!$AB$32="Muy Baja",'Mapa final'!$AD$32="Leve"),CONCATENATE("R4C",'Mapa final'!$R$32),"")</f>
        <v/>
      </c>
      <c r="N49" s="76" t="str">
        <f>IF(AND('Mapa final'!$AB$33="Muy Baja",'Mapa final'!$AD$33="Leve"),CONCATENATE("R4C",'Mapa final'!$R$33),"")</f>
        <v/>
      </c>
      <c r="O49" s="77" t="str">
        <f>IF(AND('Mapa final'!$AB$34="Muy Baja",'Mapa final'!$AD$34="Leve"),CONCATENATE("R4C",'Mapa final'!$R$34),"")</f>
        <v/>
      </c>
      <c r="P49" s="75" t="str">
        <f ca="1">IF(AND('Mapa final'!$AB$29="Muy Baja",'Mapa final'!$AD$29="Menor"),CONCATENATE("R4C",'Mapa final'!$R$29),"")</f>
        <v/>
      </c>
      <c r="Q49" s="76" t="str">
        <f>IF(AND('Mapa final'!$AB$30="Muy Baja",'Mapa final'!$AD$30="Menor"),CONCATENATE("R4C",'Mapa final'!$R$30),"")</f>
        <v/>
      </c>
      <c r="R49" s="76" t="str">
        <f>IF(AND('Mapa final'!$AB$31="Muy Baja",'Mapa final'!$AD$31="Menor"),CONCATENATE("R4C",'Mapa final'!$R$31),"")</f>
        <v/>
      </c>
      <c r="S49" s="76" t="str">
        <f>IF(AND('Mapa final'!$AB$32="Muy Baja",'Mapa final'!$AD$32="Menor"),CONCATENATE("R4C",'Mapa final'!$R$32),"")</f>
        <v/>
      </c>
      <c r="T49" s="76" t="str">
        <f>IF(AND('Mapa final'!$AB$33="Muy Baja",'Mapa final'!$AD$33="Menor"),CONCATENATE("R4C",'Mapa final'!$R$33),"")</f>
        <v/>
      </c>
      <c r="U49" s="77" t="str">
        <f>IF(AND('Mapa final'!$AB$34="Muy Baja",'Mapa final'!$AD$34="Menor"),CONCATENATE("R4C",'Mapa final'!$R$34),"")</f>
        <v/>
      </c>
      <c r="V49" s="66" t="str">
        <f ca="1">IF(AND('Mapa final'!$AB$29="Muy Baja",'Mapa final'!$AD$29="Moderado"),CONCATENATE("R4C",'Mapa final'!$R$29),"")</f>
        <v/>
      </c>
      <c r="W49" s="67" t="str">
        <f>IF(AND('Mapa final'!$AB$30="Muy Baja",'Mapa final'!$AD$30="Moderado"),CONCATENATE("R4C",'Mapa final'!$R$30),"")</f>
        <v/>
      </c>
      <c r="X49" s="67" t="str">
        <f>IF(AND('Mapa final'!$AB$31="Muy Baja",'Mapa final'!$AD$31="Moderado"),CONCATENATE("R4C",'Mapa final'!$R$31),"")</f>
        <v/>
      </c>
      <c r="Y49" s="67" t="str">
        <f>IF(AND('Mapa final'!$AB$32="Muy Baja",'Mapa final'!$AD$32="Moderado"),CONCATENATE("R4C",'Mapa final'!$R$32),"")</f>
        <v/>
      </c>
      <c r="Z49" s="67" t="str">
        <f>IF(AND('Mapa final'!$AB$33="Muy Baja",'Mapa final'!$AD$33="Moderado"),CONCATENATE("R4C",'Mapa final'!$R$33),"")</f>
        <v/>
      </c>
      <c r="AA49" s="68" t="str">
        <f>IF(AND('Mapa final'!$AB$34="Muy Baja",'Mapa final'!$AD$34="Moderado"),CONCATENATE("R4C",'Mapa final'!$R$34),"")</f>
        <v/>
      </c>
      <c r="AB49" s="51" t="str">
        <f ca="1">IF(AND('Mapa final'!$AB$29="Muy Baja",'Mapa final'!$AD$29="Mayor"),CONCATENATE("R4C",'Mapa final'!$R$29),"")</f>
        <v/>
      </c>
      <c r="AC49" s="52" t="str">
        <f>IF(AND('Mapa final'!$AB$30="Muy Baja",'Mapa final'!$AD$30="Mayor"),CONCATENATE("R4C",'Mapa final'!$R$30),"")</f>
        <v/>
      </c>
      <c r="AD49" s="52" t="str">
        <f>IF(AND('Mapa final'!$AB$31="Muy Baja",'Mapa final'!$AD$31="Mayor"),CONCATENATE("R4C",'Mapa final'!$R$31),"")</f>
        <v/>
      </c>
      <c r="AE49" s="52" t="str">
        <f>IF(AND('Mapa final'!$AB$32="Muy Baja",'Mapa final'!$AD$32="Mayor"),CONCATENATE("R4C",'Mapa final'!$R$32),"")</f>
        <v/>
      </c>
      <c r="AF49" s="52" t="str">
        <f>IF(AND('Mapa final'!$AB$33="Muy Baja",'Mapa final'!$AD$33="Mayor"),CONCATENATE("R4C",'Mapa final'!$R$33),"")</f>
        <v/>
      </c>
      <c r="AG49" s="53" t="str">
        <f>IF(AND('Mapa final'!$AB$34="Muy Baja",'Mapa final'!$AD$34="Mayor"),CONCATENATE("R4C",'Mapa final'!$R$34),"")</f>
        <v/>
      </c>
      <c r="AH49" s="54" t="str">
        <f ca="1">IF(AND('Mapa final'!$AB$29="Muy Baja",'Mapa final'!$AD$29="Catastrófico"),CONCATENATE("R4C",'Mapa final'!$R$29),"")</f>
        <v/>
      </c>
      <c r="AI49" s="55" t="str">
        <f>IF(AND('Mapa final'!$AB$30="Muy Baja",'Mapa final'!$AD$30="Catastrófico"),CONCATENATE("R4C",'Mapa final'!$R$30),"")</f>
        <v/>
      </c>
      <c r="AJ49" s="55" t="str">
        <f>IF(AND('Mapa final'!$AB$31="Muy Baja",'Mapa final'!$AD$31="Catastrófico"),CONCATENATE("R4C",'Mapa final'!$R$31),"")</f>
        <v/>
      </c>
      <c r="AK49" s="55" t="str">
        <f>IF(AND('Mapa final'!$AB$32="Muy Baja",'Mapa final'!$AD$32="Catastrófico"),CONCATENATE("R4C",'Mapa final'!$R$32),"")</f>
        <v/>
      </c>
      <c r="AL49" s="55" t="str">
        <f>IF(AND('Mapa final'!$AB$33="Muy Baja",'Mapa final'!$AD$33="Catastrófico"),CONCATENATE("R4C",'Mapa final'!$R$33),"")</f>
        <v/>
      </c>
      <c r="AM49" s="56" t="str">
        <f>IF(AND('Mapa final'!$AB$34="Muy Baja",'Mapa final'!$AD$34="Catastrófico"),CONCATENATE("R4C",'Mapa final'!$R$34),"")</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266"/>
      <c r="C50" s="266"/>
      <c r="D50" s="267"/>
      <c r="E50" s="365"/>
      <c r="F50" s="364"/>
      <c r="G50" s="364"/>
      <c r="H50" s="364"/>
      <c r="I50" s="380"/>
      <c r="J50" s="75" t="e">
        <f>IF(AND('Mapa final'!#REF!="Muy Baja",'Mapa final'!#REF!="Leve"),CONCATENATE("R5C",'Mapa final'!#REF!),"")</f>
        <v>#REF!</v>
      </c>
      <c r="K50" s="76" t="e">
        <f>IF(AND('Mapa final'!#REF!="Muy Baja",'Mapa final'!#REF!="Leve"),CONCATENATE("R5C",'Mapa final'!#REF!),"")</f>
        <v>#REF!</v>
      </c>
      <c r="L50" s="76" t="e">
        <f>IF(AND('Mapa final'!#REF!="Muy Baja",'Mapa final'!#REF!="Leve"),CONCATENATE("R5C",'Mapa final'!#REF!),"")</f>
        <v>#REF!</v>
      </c>
      <c r="M50" s="76" t="e">
        <f>IF(AND('Mapa final'!#REF!="Muy Baja",'Mapa final'!#REF!="Leve"),CONCATENATE("R5C",'Mapa final'!#REF!),"")</f>
        <v>#REF!</v>
      </c>
      <c r="N50" s="76" t="e">
        <f>IF(AND('Mapa final'!#REF!="Muy Baja",'Mapa final'!#REF!="Leve"),CONCATENATE("R5C",'Mapa final'!#REF!),"")</f>
        <v>#REF!</v>
      </c>
      <c r="O50" s="77" t="e">
        <f>IF(AND('Mapa final'!#REF!="Muy Baja",'Mapa final'!#REF!="Leve"),CONCATENATE("R5C",'Mapa final'!#REF!),"")</f>
        <v>#REF!</v>
      </c>
      <c r="P50" s="75" t="e">
        <f>IF(AND('Mapa final'!#REF!="Muy Baja",'Mapa final'!#REF!="Menor"),CONCATENATE("R5C",'Mapa final'!#REF!),"")</f>
        <v>#REF!</v>
      </c>
      <c r="Q50" s="76" t="e">
        <f>IF(AND('Mapa final'!#REF!="Muy Baja",'Mapa final'!#REF!="Menor"),CONCATENATE("R5C",'Mapa final'!#REF!),"")</f>
        <v>#REF!</v>
      </c>
      <c r="R50" s="76" t="e">
        <f>IF(AND('Mapa final'!#REF!="Muy Baja",'Mapa final'!#REF!="Menor"),CONCATENATE("R5C",'Mapa final'!#REF!),"")</f>
        <v>#REF!</v>
      </c>
      <c r="S50" s="76" t="e">
        <f>IF(AND('Mapa final'!#REF!="Muy Baja",'Mapa final'!#REF!="Menor"),CONCATENATE("R5C",'Mapa final'!#REF!),"")</f>
        <v>#REF!</v>
      </c>
      <c r="T50" s="76" t="e">
        <f>IF(AND('Mapa final'!#REF!="Muy Baja",'Mapa final'!#REF!="Menor"),CONCATENATE("R5C",'Mapa final'!#REF!),"")</f>
        <v>#REF!</v>
      </c>
      <c r="U50" s="77" t="e">
        <f>IF(AND('Mapa final'!#REF!="Muy Baja",'Mapa final'!#REF!="Menor"),CONCATENATE("R5C",'Mapa final'!#REF!),"")</f>
        <v>#REF!</v>
      </c>
      <c r="V50" s="66" t="e">
        <f>IF(AND('Mapa final'!#REF!="Muy Baja",'Mapa final'!#REF!="Moderado"),CONCATENATE("R5C",'Mapa final'!#REF!),"")</f>
        <v>#REF!</v>
      </c>
      <c r="W50" s="67" t="e">
        <f>IF(AND('Mapa final'!#REF!="Muy Baja",'Mapa final'!#REF!="Moderado"),CONCATENATE("R5C",'Mapa final'!#REF!),"")</f>
        <v>#REF!</v>
      </c>
      <c r="X50" s="67" t="e">
        <f>IF(AND('Mapa final'!#REF!="Muy Baja",'Mapa final'!#REF!="Moderado"),CONCATENATE("R5C",'Mapa final'!#REF!),"")</f>
        <v>#REF!</v>
      </c>
      <c r="Y50" s="67" t="e">
        <f>IF(AND('Mapa final'!#REF!="Muy Baja",'Mapa final'!#REF!="Moderado"),CONCATENATE("R5C",'Mapa final'!#REF!),"")</f>
        <v>#REF!</v>
      </c>
      <c r="Z50" s="67" t="e">
        <f>IF(AND('Mapa final'!#REF!="Muy Baja",'Mapa final'!#REF!="Moderado"),CONCATENATE("R5C",'Mapa final'!#REF!),"")</f>
        <v>#REF!</v>
      </c>
      <c r="AA50" s="68" t="e">
        <f>IF(AND('Mapa final'!#REF!="Muy Baja",'Mapa final'!#REF!="Moderado"),CONCATENATE("R5C",'Mapa final'!#REF!),"")</f>
        <v>#REF!</v>
      </c>
      <c r="AB50" s="51" t="e">
        <f>IF(AND('Mapa final'!#REF!="Muy Baja",'Mapa final'!#REF!="Mayor"),CONCATENATE("R5C",'Mapa final'!#REF!),"")</f>
        <v>#REF!</v>
      </c>
      <c r="AC50" s="52" t="e">
        <f>IF(AND('Mapa final'!#REF!="Muy Baja",'Mapa final'!#REF!="Mayor"),CONCATENATE("R5C",'Mapa final'!#REF!),"")</f>
        <v>#REF!</v>
      </c>
      <c r="AD50" s="52" t="e">
        <f>IF(AND('Mapa final'!#REF!="Muy Baja",'Mapa final'!#REF!="Mayor"),CONCATENATE("R5C",'Mapa final'!#REF!),"")</f>
        <v>#REF!</v>
      </c>
      <c r="AE50" s="52" t="e">
        <f>IF(AND('Mapa final'!#REF!="Muy Baja",'Mapa final'!#REF!="Mayor"),CONCATENATE("R5C",'Mapa final'!#REF!),"")</f>
        <v>#REF!</v>
      </c>
      <c r="AF50" s="52" t="e">
        <f>IF(AND('Mapa final'!#REF!="Muy Baja",'Mapa final'!#REF!="Mayor"),CONCATENATE("R5C",'Mapa final'!#REF!),"")</f>
        <v>#REF!</v>
      </c>
      <c r="AG50" s="53" t="e">
        <f>IF(AND('Mapa final'!#REF!="Muy Baja",'Mapa final'!#REF!="Mayor"),CONCATENATE("R5C",'Mapa final'!#REF!),"")</f>
        <v>#REF!</v>
      </c>
      <c r="AH50" s="54" t="e">
        <f>IF(AND('Mapa final'!#REF!="Muy Baja",'Mapa final'!#REF!="Catastrófico"),CONCATENATE("R5C",'Mapa final'!#REF!),"")</f>
        <v>#REF!</v>
      </c>
      <c r="AI50" s="55" t="e">
        <f>IF(AND('Mapa final'!#REF!="Muy Baja",'Mapa final'!#REF!="Catastrófico"),CONCATENATE("R5C",'Mapa final'!#REF!),"")</f>
        <v>#REF!</v>
      </c>
      <c r="AJ50" s="55" t="e">
        <f>IF(AND('Mapa final'!#REF!="Muy Baja",'Mapa final'!#REF!="Catastrófico"),CONCATENATE("R5C",'Mapa final'!#REF!),"")</f>
        <v>#REF!</v>
      </c>
      <c r="AK50" s="55" t="e">
        <f>IF(AND('Mapa final'!#REF!="Muy Baja",'Mapa final'!#REF!="Catastrófico"),CONCATENATE("R5C",'Mapa final'!#REF!),"")</f>
        <v>#REF!</v>
      </c>
      <c r="AL50" s="55" t="e">
        <f>IF(AND('Mapa final'!#REF!="Muy Baja",'Mapa final'!#REF!="Catastrófico"),CONCATENATE("R5C",'Mapa final'!#REF!),"")</f>
        <v>#REF!</v>
      </c>
      <c r="AM50" s="56" t="e">
        <f>IF(AND('Mapa final'!#REF!="Muy Baja",'Mapa final'!#REF!="Catastrófico"),CONCATENATE("R5C",'Mapa final'!#REF!),"")</f>
        <v>#REF!</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266"/>
      <c r="C51" s="266"/>
      <c r="D51" s="267"/>
      <c r="E51" s="365"/>
      <c r="F51" s="364"/>
      <c r="G51" s="364"/>
      <c r="H51" s="364"/>
      <c r="I51" s="380"/>
      <c r="J51" s="75" t="str">
        <f ca="1">IF(AND('Mapa final'!$AB$35="Muy Baja",'Mapa final'!$AD$35="Leve"),CONCATENATE("R6C",'Mapa final'!$R$35),"")</f>
        <v/>
      </c>
      <c r="K51" s="76" t="str">
        <f>IF(AND('Mapa final'!$AB$36="Muy Baja",'Mapa final'!$AD$36="Leve"),CONCATENATE("R6C",'Mapa final'!$R$36),"")</f>
        <v/>
      </c>
      <c r="L51" s="76" t="str">
        <f>IF(AND('Mapa final'!$AB$37="Muy Baja",'Mapa final'!$AD$37="Leve"),CONCATENATE("R6C",'Mapa final'!$R$37),"")</f>
        <v/>
      </c>
      <c r="M51" s="76" t="str">
        <f>IF(AND('Mapa final'!$AB$38="Muy Baja",'Mapa final'!$AD$38="Leve"),CONCATENATE("R6C",'Mapa final'!$R$38),"")</f>
        <v/>
      </c>
      <c r="N51" s="76" t="str">
        <f>IF(AND('Mapa final'!$AB$39="Muy Baja",'Mapa final'!$AD$39="Leve"),CONCATENATE("R6C",'Mapa final'!$R$39),"")</f>
        <v/>
      </c>
      <c r="O51" s="77" t="str">
        <f>IF(AND('Mapa final'!$AB$40="Muy Baja",'Mapa final'!$AD$40="Leve"),CONCATENATE("R6C",'Mapa final'!$R$40),"")</f>
        <v/>
      </c>
      <c r="P51" s="75" t="str">
        <f ca="1">IF(AND('Mapa final'!$AB$35="Muy Baja",'Mapa final'!$AD$35="Menor"),CONCATENATE("R6C",'Mapa final'!$R$35),"")</f>
        <v/>
      </c>
      <c r="Q51" s="76" t="str">
        <f>IF(AND('Mapa final'!$AB$36="Muy Baja",'Mapa final'!$AD$36="Menor"),CONCATENATE("R6C",'Mapa final'!$R$36),"")</f>
        <v/>
      </c>
      <c r="R51" s="76" t="str">
        <f>IF(AND('Mapa final'!$AB$37="Muy Baja",'Mapa final'!$AD$37="Menor"),CONCATENATE("R6C",'Mapa final'!$R$37),"")</f>
        <v/>
      </c>
      <c r="S51" s="76" t="str">
        <f>IF(AND('Mapa final'!$AB$38="Muy Baja",'Mapa final'!$AD$38="Menor"),CONCATENATE("R6C",'Mapa final'!$R$38),"")</f>
        <v/>
      </c>
      <c r="T51" s="76" t="str">
        <f>IF(AND('Mapa final'!$AB$39="Muy Baja",'Mapa final'!$AD$39="Menor"),CONCATENATE("R6C",'Mapa final'!$R$39),"")</f>
        <v/>
      </c>
      <c r="U51" s="77" t="str">
        <f>IF(AND('Mapa final'!$AB$40="Muy Baja",'Mapa final'!$AD$40="Menor"),CONCATENATE("R6C",'Mapa final'!$R$40),"")</f>
        <v/>
      </c>
      <c r="V51" s="66" t="str">
        <f ca="1">IF(AND('Mapa final'!$AB$35="Muy Baja",'Mapa final'!$AD$35="Moderado"),CONCATENATE("R6C",'Mapa final'!$R$35),"")</f>
        <v/>
      </c>
      <c r="W51" s="67" t="str">
        <f>IF(AND('Mapa final'!$AB$36="Muy Baja",'Mapa final'!$AD$36="Moderado"),CONCATENATE("R6C",'Mapa final'!$R$36),"")</f>
        <v/>
      </c>
      <c r="X51" s="67" t="str">
        <f>IF(AND('Mapa final'!$AB$37="Muy Baja",'Mapa final'!$AD$37="Moderado"),CONCATENATE("R6C",'Mapa final'!$R$37),"")</f>
        <v/>
      </c>
      <c r="Y51" s="67" t="str">
        <f>IF(AND('Mapa final'!$AB$38="Muy Baja",'Mapa final'!$AD$38="Moderado"),CONCATENATE("R6C",'Mapa final'!$R$38),"")</f>
        <v/>
      </c>
      <c r="Z51" s="67" t="str">
        <f>IF(AND('Mapa final'!$AB$39="Muy Baja",'Mapa final'!$AD$39="Moderado"),CONCATENATE("R6C",'Mapa final'!$R$39),"")</f>
        <v/>
      </c>
      <c r="AA51" s="68" t="str">
        <f>IF(AND('Mapa final'!$AB$40="Muy Baja",'Mapa final'!$AD$40="Moderado"),CONCATENATE("R6C",'Mapa final'!$R$40),"")</f>
        <v/>
      </c>
      <c r="AB51" s="51" t="str">
        <f ca="1">IF(AND('Mapa final'!$AB$35="Muy Baja",'Mapa final'!$AD$35="Mayor"),CONCATENATE("R6C",'Mapa final'!$R$35),"")</f>
        <v/>
      </c>
      <c r="AC51" s="52" t="str">
        <f>IF(AND('Mapa final'!$AB$36="Muy Baja",'Mapa final'!$AD$36="Mayor"),CONCATENATE("R6C",'Mapa final'!$R$36),"")</f>
        <v/>
      </c>
      <c r="AD51" s="52" t="str">
        <f>IF(AND('Mapa final'!$AB$37="Muy Baja",'Mapa final'!$AD$37="Mayor"),CONCATENATE("R6C",'Mapa final'!$R$37),"")</f>
        <v/>
      </c>
      <c r="AE51" s="52" t="str">
        <f>IF(AND('Mapa final'!$AB$38="Muy Baja",'Mapa final'!$AD$38="Mayor"),CONCATENATE("R6C",'Mapa final'!$R$38),"")</f>
        <v/>
      </c>
      <c r="AF51" s="52" t="str">
        <f>IF(AND('Mapa final'!$AB$39="Muy Baja",'Mapa final'!$AD$39="Mayor"),CONCATENATE("R6C",'Mapa final'!$R$39),"")</f>
        <v/>
      </c>
      <c r="AG51" s="53" t="str">
        <f>IF(AND('Mapa final'!$AB$40="Muy Baja",'Mapa final'!$AD$40="Mayor"),CONCATENATE("R6C",'Mapa final'!$R$40),"")</f>
        <v/>
      </c>
      <c r="AH51" s="54" t="str">
        <f ca="1">IF(AND('Mapa final'!$AB$35="Muy Baja",'Mapa final'!$AD$35="Catastrófico"),CONCATENATE("R6C",'Mapa final'!$R$35),"")</f>
        <v/>
      </c>
      <c r="AI51" s="55" t="str">
        <f>IF(AND('Mapa final'!$AB$36="Muy Baja",'Mapa final'!$AD$36="Catastrófico"),CONCATENATE("R6C",'Mapa final'!$R$36),"")</f>
        <v/>
      </c>
      <c r="AJ51" s="55" t="str">
        <f>IF(AND('Mapa final'!$AB$37="Muy Baja",'Mapa final'!$AD$37="Catastrófico"),CONCATENATE("R6C",'Mapa final'!$R$37),"")</f>
        <v/>
      </c>
      <c r="AK51" s="55" t="str">
        <f>IF(AND('Mapa final'!$AB$38="Muy Baja",'Mapa final'!$AD$38="Catastrófico"),CONCATENATE("R6C",'Mapa final'!$R$38),"")</f>
        <v/>
      </c>
      <c r="AL51" s="55" t="str">
        <f>IF(AND('Mapa final'!$AB$39="Muy Baja",'Mapa final'!$AD$39="Catastrófico"),CONCATENATE("R6C",'Mapa final'!$R$39),"")</f>
        <v/>
      </c>
      <c r="AM51" s="56" t="str">
        <f>IF(AND('Mapa final'!$AB$40="Muy Baja",'Mapa final'!$AD$40="Catastrófico"),CONCATENATE("R6C",'Mapa final'!$R$40),"")</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266"/>
      <c r="C52" s="266"/>
      <c r="D52" s="267"/>
      <c r="E52" s="365"/>
      <c r="F52" s="364"/>
      <c r="G52" s="364"/>
      <c r="H52" s="364"/>
      <c r="I52" s="380"/>
      <c r="J52" s="75" t="str">
        <f>IF(AND('Mapa final'!$AB$41="Muy Baja",'Mapa final'!$AD$41="Leve"),CONCATENATE("R7C",'Mapa final'!$R$41),"")</f>
        <v/>
      </c>
      <c r="K52" s="76" t="str">
        <f>IF(AND('Mapa final'!$AB$42="Muy Baja",'Mapa final'!$AD$42="Leve"),CONCATENATE("R7C",'Mapa final'!$R$42),"")</f>
        <v/>
      </c>
      <c r="L52" s="76" t="str">
        <f>IF(AND('Mapa final'!$AB$43="Muy Baja",'Mapa final'!$AD$43="Leve"),CONCATENATE("R7C",'Mapa final'!$R$43),"")</f>
        <v/>
      </c>
      <c r="M52" s="76" t="str">
        <f>IF(AND('Mapa final'!$AB$44="Muy Baja",'Mapa final'!$AD$44="Leve"),CONCATENATE("R7C",'Mapa final'!$R$44),"")</f>
        <v/>
      </c>
      <c r="N52" s="76" t="str">
        <f>IF(AND('Mapa final'!$AB$45="Muy Baja",'Mapa final'!$AD$45="Leve"),CONCATENATE("R7C",'Mapa final'!$R$45),"")</f>
        <v/>
      </c>
      <c r="O52" s="77" t="str">
        <f>IF(AND('Mapa final'!$AB$46="Muy Baja",'Mapa final'!$AD$46="Leve"),CONCATENATE("R7C",'Mapa final'!$R$46),"")</f>
        <v/>
      </c>
      <c r="P52" s="75" t="str">
        <f>IF(AND('Mapa final'!$AB$41="Muy Baja",'Mapa final'!$AD$41="Menor"),CONCATENATE("R7C",'Mapa final'!$R$41),"")</f>
        <v/>
      </c>
      <c r="Q52" s="76" t="str">
        <f>IF(AND('Mapa final'!$AB$42="Muy Baja",'Mapa final'!$AD$42="Menor"),CONCATENATE("R7C",'Mapa final'!$R$42),"")</f>
        <v/>
      </c>
      <c r="R52" s="76" t="str">
        <f>IF(AND('Mapa final'!$AB$43="Muy Baja",'Mapa final'!$AD$43="Menor"),CONCATENATE("R7C",'Mapa final'!$R$43),"")</f>
        <v/>
      </c>
      <c r="S52" s="76" t="str">
        <f>IF(AND('Mapa final'!$AB$44="Muy Baja",'Mapa final'!$AD$44="Menor"),CONCATENATE("R7C",'Mapa final'!$R$44),"")</f>
        <v/>
      </c>
      <c r="T52" s="76" t="str">
        <f>IF(AND('Mapa final'!$AB$45="Muy Baja",'Mapa final'!$AD$45="Menor"),CONCATENATE("R7C",'Mapa final'!$R$45),"")</f>
        <v/>
      </c>
      <c r="U52" s="77" t="str">
        <f>IF(AND('Mapa final'!$AB$46="Muy Baja",'Mapa final'!$AD$46="Menor"),CONCATENATE("R7C",'Mapa final'!$R$46),"")</f>
        <v/>
      </c>
      <c r="V52" s="66" t="str">
        <f>IF(AND('Mapa final'!$AB$41="Muy Baja",'Mapa final'!$AD$41="Moderado"),CONCATENATE("R7C",'Mapa final'!$R$41),"")</f>
        <v/>
      </c>
      <c r="W52" s="67" t="str">
        <f>IF(AND('Mapa final'!$AB$42="Muy Baja",'Mapa final'!$AD$42="Moderado"),CONCATENATE("R7C",'Mapa final'!$R$42),"")</f>
        <v/>
      </c>
      <c r="X52" s="67" t="str">
        <f>IF(AND('Mapa final'!$AB$43="Muy Baja",'Mapa final'!$AD$43="Moderado"),CONCATENATE("R7C",'Mapa final'!$R$43),"")</f>
        <v/>
      </c>
      <c r="Y52" s="67" t="str">
        <f>IF(AND('Mapa final'!$AB$44="Muy Baja",'Mapa final'!$AD$44="Moderado"),CONCATENATE("R7C",'Mapa final'!$R$44),"")</f>
        <v/>
      </c>
      <c r="Z52" s="67" t="str">
        <f>IF(AND('Mapa final'!$AB$45="Muy Baja",'Mapa final'!$AD$45="Moderado"),CONCATENATE("R7C",'Mapa final'!$R$45),"")</f>
        <v/>
      </c>
      <c r="AA52" s="68" t="str">
        <f>IF(AND('Mapa final'!$AB$46="Muy Baja",'Mapa final'!$AD$46="Moderado"),CONCATENATE("R7C",'Mapa final'!$R$46),"")</f>
        <v/>
      </c>
      <c r="AB52" s="51" t="str">
        <f>IF(AND('Mapa final'!$AB$41="Muy Baja",'Mapa final'!$AD$41="Mayor"),CONCATENATE("R7C",'Mapa final'!$R$41),"")</f>
        <v/>
      </c>
      <c r="AC52" s="52" t="str">
        <f>IF(AND('Mapa final'!$AB$42="Muy Baja",'Mapa final'!$AD$42="Mayor"),CONCATENATE("R7C",'Mapa final'!$R$42),"")</f>
        <v/>
      </c>
      <c r="AD52" s="52" t="str">
        <f>IF(AND('Mapa final'!$AB$43="Muy Baja",'Mapa final'!$AD$43="Mayor"),CONCATENATE("R7C",'Mapa final'!$R$43),"")</f>
        <v/>
      </c>
      <c r="AE52" s="52" t="str">
        <f>IF(AND('Mapa final'!$AB$44="Muy Baja",'Mapa final'!$AD$44="Mayor"),CONCATENATE("R7C",'Mapa final'!$R$44),"")</f>
        <v/>
      </c>
      <c r="AF52" s="52" t="str">
        <f>IF(AND('Mapa final'!$AB$45="Muy Baja",'Mapa final'!$AD$45="Mayor"),CONCATENATE("R7C",'Mapa final'!$R$45),"")</f>
        <v/>
      </c>
      <c r="AG52" s="53" t="str">
        <f>IF(AND('Mapa final'!$AB$46="Muy Baja",'Mapa final'!$AD$46="Mayor"),CONCATENATE("R7C",'Mapa final'!$R$46),"")</f>
        <v/>
      </c>
      <c r="AH52" s="54" t="str">
        <f>IF(AND('Mapa final'!$AB$41="Muy Baja",'Mapa final'!$AD$41="Catastrófico"),CONCATENATE("R7C",'Mapa final'!$R$41),"")</f>
        <v/>
      </c>
      <c r="AI52" s="55" t="str">
        <f>IF(AND('Mapa final'!$AB$42="Muy Baja",'Mapa final'!$AD$42="Catastrófico"),CONCATENATE("R7C",'Mapa final'!$R$42),"")</f>
        <v/>
      </c>
      <c r="AJ52" s="55" t="str">
        <f>IF(AND('Mapa final'!$AB$43="Muy Baja",'Mapa final'!$AD$43="Catastrófico"),CONCATENATE("R7C",'Mapa final'!$R$43),"")</f>
        <v/>
      </c>
      <c r="AK52" s="55" t="str">
        <f>IF(AND('Mapa final'!$AB$44="Muy Baja",'Mapa final'!$AD$44="Catastrófico"),CONCATENATE("R7C",'Mapa final'!$R$44),"")</f>
        <v/>
      </c>
      <c r="AL52" s="55" t="str">
        <f>IF(AND('Mapa final'!$AB$45="Muy Baja",'Mapa final'!$AD$45="Catastrófico"),CONCATENATE("R7C",'Mapa final'!$R$45),"")</f>
        <v/>
      </c>
      <c r="AM52" s="56" t="str">
        <f>IF(AND('Mapa final'!$AB$46="Muy Baja",'Mapa final'!$AD$46="Catastrófico"),CONCATENATE("R7C",'Mapa final'!$R$46),"")</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266"/>
      <c r="C53" s="266"/>
      <c r="D53" s="267"/>
      <c r="E53" s="365"/>
      <c r="F53" s="364"/>
      <c r="G53" s="364"/>
      <c r="H53" s="364"/>
      <c r="I53" s="380"/>
      <c r="J53" s="75" t="str">
        <f>IF(AND('Mapa final'!$AB$47="Muy Baja",'Mapa final'!$AD$47="Leve"),CONCATENATE("R8C",'Mapa final'!$R$47),"")</f>
        <v/>
      </c>
      <c r="K53" s="76" t="str">
        <f>IF(AND('Mapa final'!$AB$48="Muy Baja",'Mapa final'!$AD$48="Leve"),CONCATENATE("R8C",'Mapa final'!$R$48),"")</f>
        <v/>
      </c>
      <c r="L53" s="76" t="str">
        <f>IF(AND('Mapa final'!$AB$49="Muy Baja",'Mapa final'!$AD$49="Leve"),CONCATENATE("R8C",'Mapa final'!$R$49),"")</f>
        <v/>
      </c>
      <c r="M53" s="76" t="str">
        <f>IF(AND('Mapa final'!$AB$50="Muy Baja",'Mapa final'!$AD$50="Leve"),CONCATENATE("R8C",'Mapa final'!$R$50),"")</f>
        <v/>
      </c>
      <c r="N53" s="76" t="str">
        <f>IF(AND('Mapa final'!$AB$51="Muy Baja",'Mapa final'!$AD$51="Leve"),CONCATENATE("R8C",'Mapa final'!$R$51),"")</f>
        <v/>
      </c>
      <c r="O53" s="77" t="str">
        <f>IF(AND('Mapa final'!$AB$52="Muy Baja",'Mapa final'!$AD$52="Leve"),CONCATENATE("R8C",'Mapa final'!$R$52),"")</f>
        <v/>
      </c>
      <c r="P53" s="75" t="str">
        <f>IF(AND('Mapa final'!$AB$47="Muy Baja",'Mapa final'!$AD$47="Menor"),CONCATENATE("R8C",'Mapa final'!$R$47),"")</f>
        <v/>
      </c>
      <c r="Q53" s="76" t="str">
        <f>IF(AND('Mapa final'!$AB$48="Muy Baja",'Mapa final'!$AD$48="Menor"),CONCATENATE("R8C",'Mapa final'!$R$48),"")</f>
        <v/>
      </c>
      <c r="R53" s="76" t="str">
        <f>IF(AND('Mapa final'!$AB$49="Muy Baja",'Mapa final'!$AD$49="Menor"),CONCATENATE("R8C",'Mapa final'!$R$49),"")</f>
        <v/>
      </c>
      <c r="S53" s="76" t="str">
        <f>IF(AND('Mapa final'!$AB$50="Muy Baja",'Mapa final'!$AD$50="Menor"),CONCATENATE("R8C",'Mapa final'!$R$50),"")</f>
        <v/>
      </c>
      <c r="T53" s="76" t="str">
        <f>IF(AND('Mapa final'!$AB$51="Muy Baja",'Mapa final'!$AD$51="Menor"),CONCATENATE("R8C",'Mapa final'!$R$51),"")</f>
        <v/>
      </c>
      <c r="U53" s="77" t="str">
        <f>IF(AND('Mapa final'!$AB$52="Muy Baja",'Mapa final'!$AD$52="Menor"),CONCATENATE("R8C",'Mapa final'!$R$52),"")</f>
        <v/>
      </c>
      <c r="V53" s="66" t="str">
        <f>IF(AND('Mapa final'!$AB$47="Muy Baja",'Mapa final'!$AD$47="Moderado"),CONCATENATE("R8C",'Mapa final'!$R$47),"")</f>
        <v/>
      </c>
      <c r="W53" s="67" t="str">
        <f>IF(AND('Mapa final'!$AB$48="Muy Baja",'Mapa final'!$AD$48="Moderado"),CONCATENATE("R8C",'Mapa final'!$R$48),"")</f>
        <v/>
      </c>
      <c r="X53" s="67" t="str">
        <f>IF(AND('Mapa final'!$AB$49="Muy Baja",'Mapa final'!$AD$49="Moderado"),CONCATENATE("R8C",'Mapa final'!$R$49),"")</f>
        <v/>
      </c>
      <c r="Y53" s="67" t="str">
        <f>IF(AND('Mapa final'!$AB$50="Muy Baja",'Mapa final'!$AD$50="Moderado"),CONCATENATE("R8C",'Mapa final'!$R$50),"")</f>
        <v/>
      </c>
      <c r="Z53" s="67" t="str">
        <f>IF(AND('Mapa final'!$AB$51="Muy Baja",'Mapa final'!$AD$51="Moderado"),CONCATENATE("R8C",'Mapa final'!$R$51),"")</f>
        <v/>
      </c>
      <c r="AA53" s="68" t="str">
        <f>IF(AND('Mapa final'!$AB$52="Muy Baja",'Mapa final'!$AD$52="Moderado"),CONCATENATE("R8C",'Mapa final'!$R$52),"")</f>
        <v/>
      </c>
      <c r="AB53" s="51" t="str">
        <f>IF(AND('Mapa final'!$AB$47="Muy Baja",'Mapa final'!$AD$47="Mayor"),CONCATENATE("R8C",'Mapa final'!$R$47),"")</f>
        <v/>
      </c>
      <c r="AC53" s="52" t="str">
        <f>IF(AND('Mapa final'!$AB$48="Muy Baja",'Mapa final'!$AD$48="Mayor"),CONCATENATE("R8C",'Mapa final'!$R$48),"")</f>
        <v/>
      </c>
      <c r="AD53" s="52" t="str">
        <f>IF(AND('Mapa final'!$AB$49="Muy Baja",'Mapa final'!$AD$49="Mayor"),CONCATENATE("R8C",'Mapa final'!$R$49),"")</f>
        <v/>
      </c>
      <c r="AE53" s="52" t="str">
        <f>IF(AND('Mapa final'!$AB$50="Muy Baja",'Mapa final'!$AD$50="Mayor"),CONCATENATE("R8C",'Mapa final'!$R$50),"")</f>
        <v/>
      </c>
      <c r="AF53" s="52" t="str">
        <f>IF(AND('Mapa final'!$AB$51="Muy Baja",'Mapa final'!$AD$51="Mayor"),CONCATENATE("R8C",'Mapa final'!$R$51),"")</f>
        <v/>
      </c>
      <c r="AG53" s="53" t="str">
        <f>IF(AND('Mapa final'!$AB$52="Muy Baja",'Mapa final'!$AD$52="Mayor"),CONCATENATE("R8C",'Mapa final'!$R$52),"")</f>
        <v/>
      </c>
      <c r="AH53" s="54" t="str">
        <f>IF(AND('Mapa final'!$AB$47="Muy Baja",'Mapa final'!$AD$47="Catastrófico"),CONCATENATE("R8C",'Mapa final'!$R$47),"")</f>
        <v/>
      </c>
      <c r="AI53" s="55" t="str">
        <f>IF(AND('Mapa final'!$AB$48="Muy Baja",'Mapa final'!$AD$48="Catastrófico"),CONCATENATE("R8C",'Mapa final'!$R$48),"")</f>
        <v/>
      </c>
      <c r="AJ53" s="55" t="str">
        <f>IF(AND('Mapa final'!$AB$49="Muy Baja",'Mapa final'!$AD$49="Catastrófico"),CONCATENATE("R8C",'Mapa final'!$R$49),"")</f>
        <v/>
      </c>
      <c r="AK53" s="55" t="str">
        <f>IF(AND('Mapa final'!$AB$50="Muy Baja",'Mapa final'!$AD$50="Catastrófico"),CONCATENATE("R8C",'Mapa final'!$R$50),"")</f>
        <v/>
      </c>
      <c r="AL53" s="55" t="str">
        <f>IF(AND('Mapa final'!$AB$51="Muy Baja",'Mapa final'!$AD$51="Catastrófico"),CONCATENATE("R8C",'Mapa final'!$R$51),"")</f>
        <v/>
      </c>
      <c r="AM53" s="56" t="str">
        <f>IF(AND('Mapa final'!$AB$52="Muy Baja",'Mapa final'!$AD$52="Catastrófico"),CONCATENATE("R8C",'Mapa final'!$R$52),"")</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266"/>
      <c r="C54" s="266"/>
      <c r="D54" s="267"/>
      <c r="E54" s="365"/>
      <c r="F54" s="364"/>
      <c r="G54" s="364"/>
      <c r="H54" s="364"/>
      <c r="I54" s="380"/>
      <c r="J54" s="75" t="str">
        <f>IF(AND('Mapa final'!$AB$53="Muy Baja",'Mapa final'!$AD$53="Leve"),CONCATENATE("R9C",'Mapa final'!$R$53),"")</f>
        <v/>
      </c>
      <c r="K54" s="76" t="str">
        <f>IF(AND('Mapa final'!$AB$54="Muy Baja",'Mapa final'!$AD$54="Leve"),CONCATENATE("R9C",'Mapa final'!$R$54),"")</f>
        <v/>
      </c>
      <c r="L54" s="76" t="str">
        <f>IF(AND('Mapa final'!$AB$55="Muy Baja",'Mapa final'!$AD$55="Leve"),CONCATENATE("R9C",'Mapa final'!$R$55),"")</f>
        <v/>
      </c>
      <c r="M54" s="76" t="str">
        <f>IF(AND('Mapa final'!$AB$56="Muy Baja",'Mapa final'!$AD$56="Leve"),CONCATENATE("R9C",'Mapa final'!$R$56),"")</f>
        <v/>
      </c>
      <c r="N54" s="76" t="str">
        <f>IF(AND('Mapa final'!$AB$57="Muy Baja",'Mapa final'!$AD$57="Leve"),CONCATENATE("R9C",'Mapa final'!$R$57),"")</f>
        <v/>
      </c>
      <c r="O54" s="77" t="str">
        <f>IF(AND('Mapa final'!$AB$58="Muy Baja",'Mapa final'!$AD$58="Leve"),CONCATENATE("R9C",'Mapa final'!$R$58),"")</f>
        <v/>
      </c>
      <c r="P54" s="75" t="str">
        <f>IF(AND('Mapa final'!$AB$53="Muy Baja",'Mapa final'!$AD$53="Menor"),CONCATENATE("R9C",'Mapa final'!$R$53),"")</f>
        <v/>
      </c>
      <c r="Q54" s="76" t="str">
        <f>IF(AND('Mapa final'!$AB$54="Muy Baja",'Mapa final'!$AD$54="Menor"),CONCATENATE("R9C",'Mapa final'!$R$54),"")</f>
        <v/>
      </c>
      <c r="R54" s="76" t="str">
        <f>IF(AND('Mapa final'!$AB$55="Muy Baja",'Mapa final'!$AD$55="Menor"),CONCATENATE("R9C",'Mapa final'!$R$55),"")</f>
        <v/>
      </c>
      <c r="S54" s="76" t="str">
        <f>IF(AND('Mapa final'!$AB$56="Muy Baja",'Mapa final'!$AD$56="Menor"),CONCATENATE("R9C",'Mapa final'!$R$56),"")</f>
        <v/>
      </c>
      <c r="T54" s="76" t="str">
        <f>IF(AND('Mapa final'!$AB$57="Muy Baja",'Mapa final'!$AD$57="Menor"),CONCATENATE("R9C",'Mapa final'!$R$57),"")</f>
        <v/>
      </c>
      <c r="U54" s="77" t="str">
        <f>IF(AND('Mapa final'!$AB$58="Muy Baja",'Mapa final'!$AD$58="Menor"),CONCATENATE("R9C",'Mapa final'!$R$58),"")</f>
        <v/>
      </c>
      <c r="V54" s="66" t="str">
        <f>IF(AND('Mapa final'!$AB$53="Muy Baja",'Mapa final'!$AD$53="Moderado"),CONCATENATE("R9C",'Mapa final'!$R$53),"")</f>
        <v/>
      </c>
      <c r="W54" s="67" t="str">
        <f>IF(AND('Mapa final'!$AB$54="Muy Baja",'Mapa final'!$AD$54="Moderado"),CONCATENATE("R9C",'Mapa final'!$R$54),"")</f>
        <v/>
      </c>
      <c r="X54" s="67" t="str">
        <f>IF(AND('Mapa final'!$AB$55="Muy Baja",'Mapa final'!$AD$55="Moderado"),CONCATENATE("R9C",'Mapa final'!$R$55),"")</f>
        <v/>
      </c>
      <c r="Y54" s="67" t="str">
        <f>IF(AND('Mapa final'!$AB$56="Muy Baja",'Mapa final'!$AD$56="Moderado"),CONCATENATE("R9C",'Mapa final'!$R$56),"")</f>
        <v/>
      </c>
      <c r="Z54" s="67" t="str">
        <f>IF(AND('Mapa final'!$AB$57="Muy Baja",'Mapa final'!$AD$57="Moderado"),CONCATENATE("R9C",'Mapa final'!$R$57),"")</f>
        <v/>
      </c>
      <c r="AA54" s="68" t="str">
        <f>IF(AND('Mapa final'!$AB$58="Muy Baja",'Mapa final'!$AD$58="Moderado"),CONCATENATE("R9C",'Mapa final'!$R$58),"")</f>
        <v/>
      </c>
      <c r="AB54" s="51" t="str">
        <f>IF(AND('Mapa final'!$AB$53="Muy Baja",'Mapa final'!$AD$53="Mayor"),CONCATENATE("R9C",'Mapa final'!$R$53),"")</f>
        <v/>
      </c>
      <c r="AC54" s="52" t="str">
        <f>IF(AND('Mapa final'!$AB$54="Muy Baja",'Mapa final'!$AD$54="Mayor"),CONCATENATE("R9C",'Mapa final'!$R$54),"")</f>
        <v/>
      </c>
      <c r="AD54" s="52" t="str">
        <f>IF(AND('Mapa final'!$AB$55="Muy Baja",'Mapa final'!$AD$55="Mayor"),CONCATENATE("R9C",'Mapa final'!$R$55),"")</f>
        <v/>
      </c>
      <c r="AE54" s="52" t="str">
        <f>IF(AND('Mapa final'!$AB$56="Muy Baja",'Mapa final'!$AD$56="Mayor"),CONCATENATE("R9C",'Mapa final'!$R$56),"")</f>
        <v/>
      </c>
      <c r="AF54" s="52" t="str">
        <f>IF(AND('Mapa final'!$AB$57="Muy Baja",'Mapa final'!$AD$57="Mayor"),CONCATENATE("R9C",'Mapa final'!$R$57),"")</f>
        <v/>
      </c>
      <c r="AG54" s="53" t="str">
        <f>IF(AND('Mapa final'!$AB$58="Muy Baja",'Mapa final'!$AD$58="Mayor"),CONCATENATE("R9C",'Mapa final'!$R$58),"")</f>
        <v/>
      </c>
      <c r="AH54" s="54" t="str">
        <f>IF(AND('Mapa final'!$AB$53="Muy Baja",'Mapa final'!$AD$53="Catastrófico"),CONCATENATE("R9C",'Mapa final'!$R$53),"")</f>
        <v/>
      </c>
      <c r="AI54" s="55" t="str">
        <f>IF(AND('Mapa final'!$AB$54="Muy Baja",'Mapa final'!$AD$54="Catastrófico"),CONCATENATE("R9C",'Mapa final'!$R$54),"")</f>
        <v/>
      </c>
      <c r="AJ54" s="55" t="str">
        <f>IF(AND('Mapa final'!$AB$55="Muy Baja",'Mapa final'!$AD$55="Catastrófico"),CONCATENATE("R9C",'Mapa final'!$R$55),"")</f>
        <v/>
      </c>
      <c r="AK54" s="55" t="str">
        <f>IF(AND('Mapa final'!$AB$56="Muy Baja",'Mapa final'!$AD$56="Catastrófico"),CONCATENATE("R9C",'Mapa final'!$R$56),"")</f>
        <v/>
      </c>
      <c r="AL54" s="55" t="str">
        <f>IF(AND('Mapa final'!$AB$57="Muy Baja",'Mapa final'!$AD$57="Catastrófico"),CONCATENATE("R9C",'Mapa final'!$R$57),"")</f>
        <v/>
      </c>
      <c r="AM54" s="56" t="str">
        <f>IF(AND('Mapa final'!$AB$58="Muy Baja",'Mapa final'!$AD$58="Catastrófico"),CONCATENATE("R9C",'Mapa final'!$R$58),"")</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266"/>
      <c r="C55" s="266"/>
      <c r="D55" s="267"/>
      <c r="E55" s="366"/>
      <c r="F55" s="367"/>
      <c r="G55" s="367"/>
      <c r="H55" s="367"/>
      <c r="I55" s="381"/>
      <c r="J55" s="78" t="str">
        <f>IF(AND('Mapa final'!$AB$59="Muy Baja",'Mapa final'!$AD$59="Leve"),CONCATENATE("R10C",'Mapa final'!$R$59),"")</f>
        <v/>
      </c>
      <c r="K55" s="79" t="str">
        <f>IF(AND('Mapa final'!$AB$60="Muy Baja",'Mapa final'!$AD$60="Leve"),CONCATENATE("R10C",'Mapa final'!$R$60),"")</f>
        <v/>
      </c>
      <c r="L55" s="79" t="str">
        <f>IF(AND('Mapa final'!$AB$61="Muy Baja",'Mapa final'!$AD$61="Leve"),CONCATENATE("R10C",'Mapa final'!$R$61),"")</f>
        <v/>
      </c>
      <c r="M55" s="79" t="str">
        <f>IF(AND('Mapa final'!$AB$62="Muy Baja",'Mapa final'!$AD$62="Leve"),CONCATENATE("R10C",'Mapa final'!$R$62),"")</f>
        <v/>
      </c>
      <c r="N55" s="79" t="str">
        <f>IF(AND('Mapa final'!$AB$63="Muy Baja",'Mapa final'!$AD$63="Leve"),CONCATENATE("R10C",'Mapa final'!$R$63),"")</f>
        <v/>
      </c>
      <c r="O55" s="80" t="str">
        <f>IF(AND('Mapa final'!$AB$64="Muy Baja",'Mapa final'!$AD$64="Leve"),CONCATENATE("R10C",'Mapa final'!$R$64),"")</f>
        <v/>
      </c>
      <c r="P55" s="78" t="str">
        <f>IF(AND('Mapa final'!$AB$59="Muy Baja",'Mapa final'!$AD$59="Menor"),CONCATENATE("R10C",'Mapa final'!$R$59),"")</f>
        <v/>
      </c>
      <c r="Q55" s="79" t="str">
        <f>IF(AND('Mapa final'!$AB$60="Muy Baja",'Mapa final'!$AD$60="Menor"),CONCATENATE("R10C",'Mapa final'!$R$60),"")</f>
        <v/>
      </c>
      <c r="R55" s="79" t="str">
        <f>IF(AND('Mapa final'!$AB$61="Muy Baja",'Mapa final'!$AD$61="Menor"),CONCATENATE("R10C",'Mapa final'!$R$61),"")</f>
        <v/>
      </c>
      <c r="S55" s="79" t="str">
        <f>IF(AND('Mapa final'!$AB$62="Muy Baja",'Mapa final'!$AD$62="Menor"),CONCATENATE("R10C",'Mapa final'!$R$62),"")</f>
        <v/>
      </c>
      <c r="T55" s="79" t="str">
        <f>IF(AND('Mapa final'!$AB$63="Muy Baja",'Mapa final'!$AD$63="Menor"),CONCATENATE("R10C",'Mapa final'!$R$63),"")</f>
        <v/>
      </c>
      <c r="U55" s="80" t="str">
        <f>IF(AND('Mapa final'!$AB$64="Muy Baja",'Mapa final'!$AD$64="Menor"),CONCATENATE("R10C",'Mapa final'!$R$64),"")</f>
        <v/>
      </c>
      <c r="V55" s="69" t="str">
        <f>IF(AND('Mapa final'!$AB$59="Muy Baja",'Mapa final'!$AD$59="Moderado"),CONCATENATE("R10C",'Mapa final'!$R$59),"")</f>
        <v/>
      </c>
      <c r="W55" s="70" t="str">
        <f>IF(AND('Mapa final'!$AB$60="Muy Baja",'Mapa final'!$AD$60="Moderado"),CONCATENATE("R10C",'Mapa final'!$R$60),"")</f>
        <v/>
      </c>
      <c r="X55" s="70" t="str">
        <f>IF(AND('Mapa final'!$AB$61="Muy Baja",'Mapa final'!$AD$61="Moderado"),CONCATENATE("R10C",'Mapa final'!$R$61),"")</f>
        <v/>
      </c>
      <c r="Y55" s="70" t="str">
        <f>IF(AND('Mapa final'!$AB$62="Muy Baja",'Mapa final'!$AD$62="Moderado"),CONCATENATE("R10C",'Mapa final'!$R$62),"")</f>
        <v/>
      </c>
      <c r="Z55" s="70" t="str">
        <f>IF(AND('Mapa final'!$AB$63="Muy Baja",'Mapa final'!$AD$63="Moderado"),CONCATENATE("R10C",'Mapa final'!$R$63),"")</f>
        <v/>
      </c>
      <c r="AA55" s="71" t="str">
        <f>IF(AND('Mapa final'!$AB$64="Muy Baja",'Mapa final'!$AD$64="Moderado"),CONCATENATE("R10C",'Mapa final'!$R$64),"")</f>
        <v/>
      </c>
      <c r="AB55" s="57" t="str">
        <f>IF(AND('Mapa final'!$AB$59="Muy Baja",'Mapa final'!$AD$59="Mayor"),CONCATENATE("R10C",'Mapa final'!$R$59),"")</f>
        <v/>
      </c>
      <c r="AC55" s="58" t="str">
        <f>IF(AND('Mapa final'!$AB$60="Muy Baja",'Mapa final'!$AD$60="Mayor"),CONCATENATE("R10C",'Mapa final'!$R$60),"")</f>
        <v/>
      </c>
      <c r="AD55" s="58" t="str">
        <f>IF(AND('Mapa final'!$AB$61="Muy Baja",'Mapa final'!$AD$61="Mayor"),CONCATENATE("R10C",'Mapa final'!$R$61),"")</f>
        <v/>
      </c>
      <c r="AE55" s="58" t="str">
        <f>IF(AND('Mapa final'!$AB$62="Muy Baja",'Mapa final'!$AD$62="Mayor"),CONCATENATE("R10C",'Mapa final'!$R$62),"")</f>
        <v/>
      </c>
      <c r="AF55" s="58" t="str">
        <f>IF(AND('Mapa final'!$AB$63="Muy Baja",'Mapa final'!$AD$63="Mayor"),CONCATENATE("R10C",'Mapa final'!$R$63),"")</f>
        <v/>
      </c>
      <c r="AG55" s="59" t="str">
        <f>IF(AND('Mapa final'!$AB$64="Muy Baja",'Mapa final'!$AD$64="Mayor"),CONCATENATE("R10C",'Mapa final'!$R$64),"")</f>
        <v/>
      </c>
      <c r="AH55" s="60" t="str">
        <f>IF(AND('Mapa final'!$AB$59="Muy Baja",'Mapa final'!$AD$59="Catastrófico"),CONCATENATE("R10C",'Mapa final'!$R$59),"")</f>
        <v/>
      </c>
      <c r="AI55" s="61" t="str">
        <f>IF(AND('Mapa final'!$AB$60="Muy Baja",'Mapa final'!$AD$60="Catastrófico"),CONCATENATE("R10C",'Mapa final'!$R$60),"")</f>
        <v/>
      </c>
      <c r="AJ55" s="61" t="str">
        <f>IF(AND('Mapa final'!$AB$61="Muy Baja",'Mapa final'!$AD$61="Catastrófico"),CONCATENATE("R10C",'Mapa final'!$R$61),"")</f>
        <v/>
      </c>
      <c r="AK55" s="61" t="str">
        <f>IF(AND('Mapa final'!$AB$62="Muy Baja",'Mapa final'!$AD$62="Catastrófico"),CONCATENATE("R10C",'Mapa final'!$R$62),"")</f>
        <v/>
      </c>
      <c r="AL55" s="61" t="str">
        <f>IF(AND('Mapa final'!$AB$63="Muy Baja",'Mapa final'!$AD$63="Catastrófico"),CONCATENATE("R10C",'Mapa final'!$R$63),"")</f>
        <v/>
      </c>
      <c r="AM55" s="62" t="str">
        <f>IF(AND('Mapa final'!$AB$64="Muy Baja",'Mapa final'!$AD$64="Catastrófico"),CONCATENATE("R10C",'Mapa final'!$R$64),"")</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361" t="s">
        <v>104</v>
      </c>
      <c r="K56" s="362"/>
      <c r="L56" s="362"/>
      <c r="M56" s="362"/>
      <c r="N56" s="362"/>
      <c r="O56" s="379"/>
      <c r="P56" s="361" t="s">
        <v>103</v>
      </c>
      <c r="Q56" s="362"/>
      <c r="R56" s="362"/>
      <c r="S56" s="362"/>
      <c r="T56" s="362"/>
      <c r="U56" s="379"/>
      <c r="V56" s="361" t="s">
        <v>102</v>
      </c>
      <c r="W56" s="362"/>
      <c r="X56" s="362"/>
      <c r="Y56" s="362"/>
      <c r="Z56" s="362"/>
      <c r="AA56" s="379"/>
      <c r="AB56" s="361" t="s">
        <v>101</v>
      </c>
      <c r="AC56" s="400"/>
      <c r="AD56" s="362"/>
      <c r="AE56" s="362"/>
      <c r="AF56" s="362"/>
      <c r="AG56" s="379"/>
      <c r="AH56" s="361" t="s">
        <v>100</v>
      </c>
      <c r="AI56" s="362"/>
      <c r="AJ56" s="362"/>
      <c r="AK56" s="362"/>
      <c r="AL56" s="362"/>
      <c r="AM56" s="379"/>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365"/>
      <c r="K57" s="364"/>
      <c r="L57" s="364"/>
      <c r="M57" s="364"/>
      <c r="N57" s="364"/>
      <c r="O57" s="380"/>
      <c r="P57" s="365"/>
      <c r="Q57" s="364"/>
      <c r="R57" s="364"/>
      <c r="S57" s="364"/>
      <c r="T57" s="364"/>
      <c r="U57" s="380"/>
      <c r="V57" s="365"/>
      <c r="W57" s="364"/>
      <c r="X57" s="364"/>
      <c r="Y57" s="364"/>
      <c r="Z57" s="364"/>
      <c r="AA57" s="380"/>
      <c r="AB57" s="365"/>
      <c r="AC57" s="364"/>
      <c r="AD57" s="364"/>
      <c r="AE57" s="364"/>
      <c r="AF57" s="364"/>
      <c r="AG57" s="380"/>
      <c r="AH57" s="365"/>
      <c r="AI57" s="364"/>
      <c r="AJ57" s="364"/>
      <c r="AK57" s="364"/>
      <c r="AL57" s="364"/>
      <c r="AM57" s="380"/>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365"/>
      <c r="K58" s="364"/>
      <c r="L58" s="364"/>
      <c r="M58" s="364"/>
      <c r="N58" s="364"/>
      <c r="O58" s="380"/>
      <c r="P58" s="365"/>
      <c r="Q58" s="364"/>
      <c r="R58" s="364"/>
      <c r="S58" s="364"/>
      <c r="T58" s="364"/>
      <c r="U58" s="380"/>
      <c r="V58" s="365"/>
      <c r="W58" s="364"/>
      <c r="X58" s="364"/>
      <c r="Y58" s="364"/>
      <c r="Z58" s="364"/>
      <c r="AA58" s="380"/>
      <c r="AB58" s="365"/>
      <c r="AC58" s="364"/>
      <c r="AD58" s="364"/>
      <c r="AE58" s="364"/>
      <c r="AF58" s="364"/>
      <c r="AG58" s="380"/>
      <c r="AH58" s="365"/>
      <c r="AI58" s="364"/>
      <c r="AJ58" s="364"/>
      <c r="AK58" s="364"/>
      <c r="AL58" s="364"/>
      <c r="AM58" s="380"/>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365"/>
      <c r="K59" s="364"/>
      <c r="L59" s="364"/>
      <c r="M59" s="364"/>
      <c r="N59" s="364"/>
      <c r="O59" s="380"/>
      <c r="P59" s="365"/>
      <c r="Q59" s="364"/>
      <c r="R59" s="364"/>
      <c r="S59" s="364"/>
      <c r="T59" s="364"/>
      <c r="U59" s="380"/>
      <c r="V59" s="365"/>
      <c r="W59" s="364"/>
      <c r="X59" s="364"/>
      <c r="Y59" s="364"/>
      <c r="Z59" s="364"/>
      <c r="AA59" s="380"/>
      <c r="AB59" s="365"/>
      <c r="AC59" s="364"/>
      <c r="AD59" s="364"/>
      <c r="AE59" s="364"/>
      <c r="AF59" s="364"/>
      <c r="AG59" s="380"/>
      <c r="AH59" s="365"/>
      <c r="AI59" s="364"/>
      <c r="AJ59" s="364"/>
      <c r="AK59" s="364"/>
      <c r="AL59" s="364"/>
      <c r="AM59" s="380"/>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365"/>
      <c r="K60" s="364"/>
      <c r="L60" s="364"/>
      <c r="M60" s="364"/>
      <c r="N60" s="364"/>
      <c r="O60" s="380"/>
      <c r="P60" s="365"/>
      <c r="Q60" s="364"/>
      <c r="R60" s="364"/>
      <c r="S60" s="364"/>
      <c r="T60" s="364"/>
      <c r="U60" s="380"/>
      <c r="V60" s="365"/>
      <c r="W60" s="364"/>
      <c r="X60" s="364"/>
      <c r="Y60" s="364"/>
      <c r="Z60" s="364"/>
      <c r="AA60" s="380"/>
      <c r="AB60" s="365"/>
      <c r="AC60" s="364"/>
      <c r="AD60" s="364"/>
      <c r="AE60" s="364"/>
      <c r="AF60" s="364"/>
      <c r="AG60" s="380"/>
      <c r="AH60" s="365"/>
      <c r="AI60" s="364"/>
      <c r="AJ60" s="364"/>
      <c r="AK60" s="364"/>
      <c r="AL60" s="364"/>
      <c r="AM60" s="380"/>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366"/>
      <c r="K61" s="367"/>
      <c r="L61" s="367"/>
      <c r="M61" s="367"/>
      <c r="N61" s="367"/>
      <c r="O61" s="381"/>
      <c r="P61" s="366"/>
      <c r="Q61" s="367"/>
      <c r="R61" s="367"/>
      <c r="S61" s="367"/>
      <c r="T61" s="367"/>
      <c r="U61" s="381"/>
      <c r="V61" s="366"/>
      <c r="W61" s="367"/>
      <c r="X61" s="367"/>
      <c r="Y61" s="367"/>
      <c r="Z61" s="367"/>
      <c r="AA61" s="381"/>
      <c r="AB61" s="366"/>
      <c r="AC61" s="367"/>
      <c r="AD61" s="367"/>
      <c r="AE61" s="367"/>
      <c r="AF61" s="367"/>
      <c r="AG61" s="381"/>
      <c r="AH61" s="366"/>
      <c r="AI61" s="367"/>
      <c r="AJ61" s="367"/>
      <c r="AK61" s="367"/>
      <c r="AL61" s="367"/>
      <c r="AM61" s="381"/>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B8" sqref="B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401" t="s">
        <v>53</v>
      </c>
      <c r="C1" s="401"/>
      <c r="D1" s="401"/>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50</v>
      </c>
      <c r="D3" s="11" t="s">
        <v>3</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49</v>
      </c>
      <c r="C4" s="13" t="s">
        <v>205</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51</v>
      </c>
      <c r="C5" s="16" t="s">
        <v>206</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99</v>
      </c>
      <c r="C6" s="16" t="s">
        <v>207</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5</v>
      </c>
      <c r="C7" s="16" t="s">
        <v>208</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52</v>
      </c>
      <c r="C8" s="16" t="s">
        <v>209</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8"/>
  <sheetViews>
    <sheetView zoomScale="60" zoomScaleNormal="60" workbookViewId="0">
      <selection activeCell="A210" sqref="A210"/>
    </sheetView>
  </sheetViews>
  <sheetFormatPr baseColWidth="10" defaultRowHeight="15" x14ac:dyDescent="0.25"/>
  <cols>
    <col min="2" max="2" width="40.42578125" customWidth="1"/>
    <col min="3" max="3" width="74.85546875" customWidth="1"/>
    <col min="4" max="4" width="126.42578125" bestFit="1" customWidth="1"/>
    <col min="5" max="5" width="12.42578125" bestFit="1" customWidth="1"/>
    <col min="6" max="6" width="144.7109375" bestFit="1" customWidth="1"/>
    <col min="7" max="7" width="47.140625" bestFit="1" customWidth="1"/>
    <col min="8" max="8" width="125.140625" bestFit="1" customWidth="1"/>
    <col min="9" max="9" width="146.28515625" bestFit="1" customWidth="1"/>
    <col min="10" max="10" width="52.140625" bestFit="1" customWidth="1"/>
    <col min="11" max="11" width="147.42578125" bestFit="1" customWidth="1"/>
    <col min="12" max="12" width="16.42578125" bestFit="1" customWidth="1"/>
  </cols>
  <sheetData>
    <row r="1" spans="1:21" ht="33.75" x14ac:dyDescent="0.25">
      <c r="A1" s="82"/>
      <c r="B1" s="402" t="s">
        <v>61</v>
      </c>
      <c r="C1" s="402"/>
      <c r="D1" s="402"/>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5" t="s">
        <v>54</v>
      </c>
      <c r="D3" s="35" t="s">
        <v>55</v>
      </c>
      <c r="E3" s="82"/>
      <c r="F3" s="82"/>
      <c r="G3" s="82"/>
      <c r="H3" s="82"/>
      <c r="I3" s="82"/>
      <c r="J3" s="82"/>
      <c r="K3" s="82"/>
      <c r="L3" s="82"/>
      <c r="M3" s="82"/>
      <c r="N3" s="82"/>
      <c r="O3" s="82"/>
      <c r="P3" s="82"/>
      <c r="Q3" s="82"/>
      <c r="R3" s="82"/>
      <c r="S3" s="82"/>
      <c r="T3" s="82"/>
      <c r="U3" s="82"/>
    </row>
    <row r="4" spans="1:21" ht="33.75" x14ac:dyDescent="0.25">
      <c r="A4" s="102" t="s">
        <v>80</v>
      </c>
      <c r="B4" s="38" t="s">
        <v>98</v>
      </c>
      <c r="C4" s="43" t="s">
        <v>140</v>
      </c>
      <c r="D4" s="36" t="s">
        <v>94</v>
      </c>
      <c r="E4" s="82"/>
      <c r="F4" s="82"/>
      <c r="G4" s="82"/>
      <c r="H4" s="82"/>
      <c r="I4" s="82"/>
      <c r="J4" s="82"/>
      <c r="K4" s="82"/>
      <c r="L4" s="82"/>
      <c r="M4" s="82"/>
      <c r="N4" s="82"/>
      <c r="O4" s="82"/>
      <c r="P4" s="82"/>
      <c r="Q4" s="82"/>
      <c r="R4" s="82"/>
      <c r="S4" s="82"/>
      <c r="T4" s="82"/>
      <c r="U4" s="82"/>
    </row>
    <row r="5" spans="1:21" ht="101.25" x14ac:dyDescent="0.25">
      <c r="A5" s="102" t="s">
        <v>81</v>
      </c>
      <c r="B5" s="39" t="s">
        <v>57</v>
      </c>
      <c r="C5" s="44" t="s">
        <v>90</v>
      </c>
      <c r="D5" s="37" t="s">
        <v>95</v>
      </c>
      <c r="E5" s="82"/>
      <c r="F5" s="82"/>
      <c r="G5" s="82"/>
      <c r="H5" s="82"/>
      <c r="I5" s="82"/>
      <c r="J5" s="82"/>
      <c r="K5" s="82"/>
      <c r="L5" s="82"/>
      <c r="M5" s="82"/>
      <c r="N5" s="82"/>
      <c r="O5" s="82"/>
      <c r="P5" s="82"/>
      <c r="Q5" s="82"/>
      <c r="R5" s="82"/>
      <c r="S5" s="82"/>
      <c r="T5" s="82"/>
      <c r="U5" s="82"/>
    </row>
    <row r="6" spans="1:21" ht="67.5" x14ac:dyDescent="0.25">
      <c r="A6" s="102" t="s">
        <v>78</v>
      </c>
      <c r="B6" s="40" t="s">
        <v>58</v>
      </c>
      <c r="C6" s="44" t="s">
        <v>91</v>
      </c>
      <c r="D6" s="37" t="s">
        <v>97</v>
      </c>
      <c r="E6" s="82"/>
      <c r="F6" s="82"/>
      <c r="G6" s="82"/>
      <c r="H6" s="82"/>
      <c r="I6" s="82"/>
      <c r="J6" s="82"/>
      <c r="K6" s="82"/>
      <c r="L6" s="82"/>
      <c r="M6" s="82"/>
      <c r="N6" s="82"/>
      <c r="O6" s="82"/>
      <c r="P6" s="82"/>
      <c r="Q6" s="82"/>
      <c r="R6" s="82"/>
      <c r="S6" s="82"/>
      <c r="T6" s="82"/>
      <c r="U6" s="82"/>
    </row>
    <row r="7" spans="1:21" ht="101.25" x14ac:dyDescent="0.25">
      <c r="A7" s="102" t="s">
        <v>6</v>
      </c>
      <c r="B7" s="41" t="s">
        <v>59</v>
      </c>
      <c r="C7" s="44" t="s">
        <v>92</v>
      </c>
      <c r="D7" s="37" t="s">
        <v>96</v>
      </c>
      <c r="E7" s="82"/>
      <c r="F7" s="82"/>
      <c r="G7" s="82"/>
      <c r="H7" s="82"/>
      <c r="I7" s="82"/>
      <c r="J7" s="82"/>
      <c r="K7" s="82"/>
      <c r="L7" s="82"/>
      <c r="M7" s="82"/>
      <c r="N7" s="82"/>
      <c r="O7" s="82"/>
      <c r="P7" s="82"/>
      <c r="Q7" s="82"/>
      <c r="R7" s="82"/>
      <c r="S7" s="82"/>
      <c r="T7" s="82"/>
      <c r="U7" s="82"/>
    </row>
    <row r="8" spans="1:21" ht="67.5" x14ac:dyDescent="0.25">
      <c r="A8" s="102" t="s">
        <v>82</v>
      </c>
      <c r="B8" s="42" t="s">
        <v>60</v>
      </c>
      <c r="C8" s="44" t="s">
        <v>93</v>
      </c>
      <c r="D8" s="37" t="s">
        <v>110</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88</v>
      </c>
      <c r="C11" s="102" t="s">
        <v>128</v>
      </c>
      <c r="D11" s="102" t="s">
        <v>135</v>
      </c>
      <c r="E11" s="82"/>
      <c r="F11" s="82"/>
      <c r="G11" s="82"/>
      <c r="H11" s="82"/>
      <c r="I11" s="82"/>
      <c r="J11" s="82"/>
      <c r="K11" s="82"/>
      <c r="L11" s="82"/>
      <c r="M11" s="82"/>
      <c r="N11" s="82"/>
      <c r="O11" s="82"/>
      <c r="P11" s="82"/>
      <c r="Q11" s="82"/>
      <c r="R11" s="82"/>
      <c r="S11" s="82"/>
      <c r="T11" s="82"/>
      <c r="U11" s="82"/>
    </row>
    <row r="12" spans="1:21" x14ac:dyDescent="0.25">
      <c r="A12" s="102"/>
      <c r="B12" s="102" t="s">
        <v>86</v>
      </c>
      <c r="C12" s="102" t="s">
        <v>132</v>
      </c>
      <c r="D12" s="102" t="s">
        <v>136</v>
      </c>
      <c r="E12" s="82"/>
      <c r="F12" s="82"/>
      <c r="G12" s="82"/>
      <c r="H12" s="82"/>
      <c r="I12" s="82"/>
      <c r="J12" s="82"/>
      <c r="K12" s="82"/>
      <c r="L12" s="82"/>
      <c r="M12" s="82"/>
      <c r="N12" s="82"/>
      <c r="O12" s="82"/>
      <c r="P12" s="82"/>
      <c r="Q12" s="82"/>
      <c r="R12" s="82"/>
      <c r="S12" s="82"/>
      <c r="T12" s="82"/>
      <c r="U12" s="82"/>
    </row>
    <row r="13" spans="1:21" x14ac:dyDescent="0.25">
      <c r="A13" s="102"/>
      <c r="B13" s="102"/>
      <c r="C13" s="102" t="s">
        <v>131</v>
      </c>
      <c r="D13" s="102" t="s">
        <v>137</v>
      </c>
      <c r="E13" s="82"/>
      <c r="F13" s="82"/>
      <c r="G13" s="82"/>
      <c r="H13" s="82"/>
      <c r="I13" s="82"/>
      <c r="J13" s="82"/>
      <c r="K13" s="82"/>
      <c r="L13" s="82"/>
      <c r="M13" s="82"/>
      <c r="N13" s="82"/>
      <c r="O13" s="82"/>
      <c r="P13" s="82"/>
      <c r="Q13" s="82"/>
      <c r="R13" s="82"/>
      <c r="S13" s="82"/>
      <c r="T13" s="82"/>
      <c r="U13" s="82"/>
    </row>
    <row r="14" spans="1:21" x14ac:dyDescent="0.25">
      <c r="A14" s="102"/>
      <c r="B14" s="102"/>
      <c r="C14" s="102" t="s">
        <v>133</v>
      </c>
      <c r="D14" s="102" t="s">
        <v>138</v>
      </c>
      <c r="E14" s="82"/>
      <c r="F14" s="82"/>
      <c r="G14" s="82"/>
      <c r="H14" s="82"/>
      <c r="I14" s="82"/>
      <c r="J14" s="82"/>
      <c r="K14" s="82"/>
      <c r="L14" s="82"/>
      <c r="M14" s="82"/>
      <c r="N14" s="82"/>
      <c r="O14" s="82"/>
      <c r="P14" s="82"/>
      <c r="Q14" s="82"/>
      <c r="R14" s="82"/>
      <c r="S14" s="82"/>
      <c r="T14" s="82"/>
      <c r="U14" s="82"/>
    </row>
    <row r="15" spans="1:21" x14ac:dyDescent="0.25">
      <c r="A15" s="102"/>
      <c r="B15" s="102"/>
      <c r="C15" s="102" t="s">
        <v>134</v>
      </c>
      <c r="D15" s="102" t="s">
        <v>139</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3"/>
      <c r="D52" s="33"/>
    </row>
    <row r="53" spans="1:15" ht="20.25" x14ac:dyDescent="0.25">
      <c r="A53" s="102"/>
      <c r="B53" s="22"/>
      <c r="C53" s="33"/>
      <c r="D53" s="33"/>
    </row>
    <row r="54" spans="1:15" ht="20.25" x14ac:dyDescent="0.25">
      <c r="A54" s="102"/>
      <c r="B54" s="22"/>
      <c r="C54" s="33"/>
      <c r="D54" s="33"/>
    </row>
    <row r="55" spans="1:15" ht="20.25" x14ac:dyDescent="0.25">
      <c r="A55" s="102"/>
      <c r="B55" s="22"/>
      <c r="C55" s="33"/>
      <c r="D55" s="33"/>
    </row>
    <row r="56" spans="1:15" ht="20.25" x14ac:dyDescent="0.25">
      <c r="A56" s="102"/>
      <c r="B56" s="22"/>
      <c r="C56" s="33"/>
      <c r="D56" s="33"/>
    </row>
    <row r="57" spans="1:15" ht="20.25" x14ac:dyDescent="0.25">
      <c r="A57" s="102"/>
      <c r="B57" s="22"/>
      <c r="C57" s="33"/>
      <c r="D57" s="33"/>
    </row>
    <row r="58" spans="1:15" ht="20.25" x14ac:dyDescent="0.25">
      <c r="A58" s="102"/>
      <c r="B58" s="22"/>
      <c r="C58" s="33"/>
      <c r="D58" s="33"/>
    </row>
    <row r="59" spans="1:15" ht="20.25" x14ac:dyDescent="0.25">
      <c r="A59" s="102"/>
      <c r="B59" s="22"/>
      <c r="C59" s="33"/>
      <c r="D59" s="33"/>
    </row>
    <row r="60" spans="1:15" ht="20.25" x14ac:dyDescent="0.25">
      <c r="A60" s="102"/>
      <c r="B60" s="22"/>
      <c r="C60" s="33"/>
      <c r="D60" s="33"/>
    </row>
    <row r="61" spans="1:15" ht="20.25" x14ac:dyDescent="0.25">
      <c r="A61" s="102"/>
      <c r="B61" s="22"/>
      <c r="C61" s="33"/>
      <c r="D61" s="33"/>
    </row>
    <row r="62" spans="1:15" ht="20.25" x14ac:dyDescent="0.25">
      <c r="A62" s="102"/>
      <c r="B62" s="22"/>
      <c r="C62" s="33"/>
      <c r="D62" s="33"/>
    </row>
    <row r="63" spans="1:15" ht="20.25" x14ac:dyDescent="0.25">
      <c r="A63" s="102"/>
      <c r="B63" s="22"/>
      <c r="C63" s="33"/>
      <c r="D63" s="33"/>
    </row>
    <row r="64" spans="1:15" ht="20.25" x14ac:dyDescent="0.25">
      <c r="A64" s="102"/>
      <c r="B64" s="22"/>
      <c r="C64" s="33"/>
      <c r="D64" s="33"/>
    </row>
    <row r="65" spans="1:4" ht="20.25" x14ac:dyDescent="0.25">
      <c r="A65" s="102"/>
      <c r="B65" s="22"/>
      <c r="C65" s="33"/>
      <c r="D65" s="33"/>
    </row>
    <row r="66" spans="1:4" ht="20.25" x14ac:dyDescent="0.25">
      <c r="A66" s="102"/>
      <c r="B66" s="22"/>
      <c r="C66" s="33"/>
      <c r="D66" s="33"/>
    </row>
    <row r="67" spans="1:4" ht="20.25" x14ac:dyDescent="0.25">
      <c r="A67" s="102"/>
      <c r="B67" s="22"/>
      <c r="C67" s="33"/>
      <c r="D67" s="33"/>
    </row>
    <row r="68" spans="1:4" ht="20.25" x14ac:dyDescent="0.25">
      <c r="A68" s="102"/>
      <c r="B68" s="22"/>
      <c r="C68" s="33"/>
      <c r="D68" s="33"/>
    </row>
    <row r="69" spans="1:4" ht="20.25" x14ac:dyDescent="0.25">
      <c r="A69" s="102"/>
      <c r="B69" s="22"/>
      <c r="C69" s="33"/>
      <c r="D69" s="33"/>
    </row>
    <row r="70" spans="1:4" ht="20.25" x14ac:dyDescent="0.25">
      <c r="A70" s="102"/>
      <c r="B70" s="22"/>
      <c r="C70" s="33"/>
      <c r="D70" s="33"/>
    </row>
    <row r="71" spans="1:4" ht="20.25" x14ac:dyDescent="0.25">
      <c r="A71" s="102"/>
      <c r="B71" s="22"/>
      <c r="C71" s="33"/>
      <c r="D71" s="33"/>
    </row>
    <row r="72" spans="1:4" ht="20.25" x14ac:dyDescent="0.25">
      <c r="A72" s="102"/>
      <c r="B72" s="22"/>
      <c r="C72" s="33"/>
      <c r="D72" s="33"/>
    </row>
    <row r="73" spans="1:4" ht="20.25" x14ac:dyDescent="0.25">
      <c r="A73" s="102"/>
      <c r="B73" s="22"/>
      <c r="C73" s="33"/>
      <c r="D73" s="33"/>
    </row>
    <row r="74" spans="1:4" ht="20.25" x14ac:dyDescent="0.25">
      <c r="A74" s="102"/>
      <c r="B74" s="22"/>
      <c r="C74" s="33"/>
      <c r="D74" s="33"/>
    </row>
    <row r="75" spans="1:4" ht="20.25" x14ac:dyDescent="0.25">
      <c r="A75" s="102"/>
      <c r="B75" s="22"/>
      <c r="C75" s="33"/>
      <c r="D75" s="33"/>
    </row>
    <row r="76" spans="1:4" ht="20.25" x14ac:dyDescent="0.25">
      <c r="A76" s="102"/>
      <c r="B76" s="22"/>
      <c r="C76" s="33"/>
      <c r="D76" s="33"/>
    </row>
    <row r="77" spans="1:4" ht="20.25" x14ac:dyDescent="0.25">
      <c r="A77" s="102"/>
      <c r="B77" s="22"/>
      <c r="C77" s="33"/>
      <c r="D77" s="33"/>
    </row>
    <row r="78" spans="1:4" ht="20.25" x14ac:dyDescent="0.25">
      <c r="A78" s="102"/>
      <c r="B78" s="22"/>
      <c r="C78" s="33"/>
      <c r="D78" s="33"/>
    </row>
    <row r="79" spans="1:4" ht="20.25" x14ac:dyDescent="0.25">
      <c r="A79" s="102"/>
      <c r="B79" s="22"/>
      <c r="C79" s="33"/>
      <c r="D79" s="33"/>
    </row>
    <row r="80" spans="1:4" ht="20.25" x14ac:dyDescent="0.25">
      <c r="A80" s="102"/>
      <c r="B80" s="22"/>
      <c r="C80" s="33"/>
      <c r="D80" s="33"/>
    </row>
    <row r="81" spans="1:4" ht="20.25" x14ac:dyDescent="0.25">
      <c r="A81" s="102"/>
      <c r="B81" s="22"/>
      <c r="C81" s="33"/>
      <c r="D81" s="33"/>
    </row>
    <row r="82" spans="1:4" ht="20.25" x14ac:dyDescent="0.25">
      <c r="A82" s="102"/>
      <c r="B82" s="22"/>
      <c r="C82" s="33"/>
      <c r="D82" s="33"/>
    </row>
    <row r="83" spans="1:4" ht="20.25" x14ac:dyDescent="0.25">
      <c r="A83" s="102"/>
      <c r="B83" s="22"/>
      <c r="C83" s="33"/>
      <c r="D83" s="33"/>
    </row>
    <row r="84" spans="1:4" ht="20.25" x14ac:dyDescent="0.25">
      <c r="A84" s="102"/>
      <c r="B84" s="22"/>
      <c r="C84" s="33"/>
      <c r="D84" s="33"/>
    </row>
    <row r="85" spans="1:4" ht="20.25" x14ac:dyDescent="0.25">
      <c r="A85" s="102"/>
      <c r="B85" s="22"/>
      <c r="C85" s="33"/>
      <c r="D85" s="33"/>
    </row>
    <row r="86" spans="1:4" ht="20.25" x14ac:dyDescent="0.25">
      <c r="A86" s="102"/>
      <c r="B86" s="22"/>
      <c r="C86" s="33"/>
      <c r="D86" s="33"/>
    </row>
    <row r="87" spans="1:4" ht="20.25" x14ac:dyDescent="0.25">
      <c r="A87" s="102"/>
      <c r="B87" s="22"/>
      <c r="C87" s="33"/>
      <c r="D87" s="33"/>
    </row>
    <row r="88" spans="1:4" ht="20.25" x14ac:dyDescent="0.25">
      <c r="A88" s="102"/>
      <c r="B88" s="22"/>
      <c r="C88" s="33"/>
      <c r="D88" s="33"/>
    </row>
    <row r="89" spans="1:4" ht="20.25" x14ac:dyDescent="0.25">
      <c r="A89" s="102"/>
      <c r="B89" s="22"/>
      <c r="C89" s="33"/>
      <c r="D89" s="33"/>
    </row>
    <row r="90" spans="1:4" ht="20.25" x14ac:dyDescent="0.25">
      <c r="A90" s="102"/>
      <c r="B90" s="22"/>
      <c r="C90" s="33"/>
      <c r="D90" s="33"/>
    </row>
    <row r="91" spans="1:4" ht="20.25" x14ac:dyDescent="0.25">
      <c r="A91" s="102"/>
      <c r="B91" s="22"/>
      <c r="C91" s="33"/>
      <c r="D91" s="33"/>
    </row>
    <row r="92" spans="1:4" ht="20.25" x14ac:dyDescent="0.25">
      <c r="A92" s="102"/>
      <c r="B92" s="22"/>
      <c r="C92" s="33"/>
      <c r="D92" s="33"/>
    </row>
    <row r="93" spans="1:4" ht="20.25" x14ac:dyDescent="0.25">
      <c r="A93" s="102"/>
      <c r="B93" s="22"/>
      <c r="C93" s="33"/>
      <c r="D93" s="33"/>
    </row>
    <row r="94" spans="1:4" ht="20.25" x14ac:dyDescent="0.25">
      <c r="A94" s="102"/>
      <c r="B94" s="22"/>
      <c r="C94" s="33"/>
      <c r="D94" s="33"/>
    </row>
    <row r="95" spans="1:4" ht="20.25" x14ac:dyDescent="0.25">
      <c r="A95" s="102"/>
      <c r="B95" s="22"/>
      <c r="C95" s="33"/>
      <c r="D95" s="33"/>
    </row>
    <row r="96" spans="1:4" ht="20.25" x14ac:dyDescent="0.25">
      <c r="A96" s="102"/>
      <c r="B96" s="22"/>
      <c r="C96" s="33"/>
      <c r="D96" s="33"/>
    </row>
    <row r="97" spans="1:4" ht="20.25" x14ac:dyDescent="0.25">
      <c r="A97" s="102"/>
      <c r="B97" s="22"/>
      <c r="C97" s="33"/>
      <c r="D97" s="33"/>
    </row>
    <row r="98" spans="1:4" ht="20.25" x14ac:dyDescent="0.25">
      <c r="A98" s="102"/>
      <c r="B98" s="22"/>
      <c r="C98" s="33"/>
      <c r="D98" s="33"/>
    </row>
    <row r="99" spans="1:4" ht="20.25" x14ac:dyDescent="0.25">
      <c r="A99" s="102"/>
      <c r="B99" s="22"/>
      <c r="C99" s="33"/>
      <c r="D99" s="33"/>
    </row>
    <row r="100" spans="1:4" ht="20.25" x14ac:dyDescent="0.25">
      <c r="A100" s="102"/>
      <c r="B100" s="22"/>
      <c r="C100" s="33"/>
      <c r="D100" s="33"/>
    </row>
    <row r="101" spans="1:4" ht="20.25" x14ac:dyDescent="0.25">
      <c r="A101" s="102"/>
      <c r="B101" s="22"/>
      <c r="C101" s="33"/>
      <c r="D101" s="33"/>
    </row>
    <row r="102" spans="1:4" ht="20.25" x14ac:dyDescent="0.25">
      <c r="A102" s="102"/>
      <c r="B102" s="22"/>
      <c r="C102" s="33"/>
      <c r="D102" s="33"/>
    </row>
    <row r="103" spans="1:4" ht="20.25" x14ac:dyDescent="0.25">
      <c r="A103" s="102"/>
      <c r="B103" s="22"/>
      <c r="C103" s="33"/>
      <c r="D103" s="33"/>
    </row>
    <row r="104" spans="1:4" ht="20.25" x14ac:dyDescent="0.25">
      <c r="A104" s="102"/>
      <c r="B104" s="22"/>
      <c r="C104" s="33"/>
      <c r="D104" s="33"/>
    </row>
    <row r="105" spans="1:4" ht="20.25" x14ac:dyDescent="0.25">
      <c r="A105" s="102"/>
      <c r="B105" s="22"/>
      <c r="C105" s="33"/>
      <c r="D105" s="33"/>
    </row>
    <row r="106" spans="1:4" ht="20.25" x14ac:dyDescent="0.25">
      <c r="A106" s="102"/>
      <c r="B106" s="22"/>
      <c r="C106" s="33"/>
      <c r="D106" s="33"/>
    </row>
    <row r="107" spans="1:4" ht="20.25" x14ac:dyDescent="0.25">
      <c r="A107" s="102"/>
      <c r="B107" s="22"/>
      <c r="C107" s="33"/>
      <c r="D107" s="33"/>
    </row>
    <row r="108" spans="1:4" ht="20.25" x14ac:dyDescent="0.25">
      <c r="A108" s="102"/>
      <c r="B108" s="22"/>
      <c r="C108" s="33"/>
      <c r="D108" s="33"/>
    </row>
    <row r="109" spans="1:4" ht="20.25" x14ac:dyDescent="0.25">
      <c r="A109" s="102"/>
      <c r="B109" s="22"/>
      <c r="C109" s="33"/>
      <c r="D109" s="33"/>
    </row>
    <row r="110" spans="1:4" ht="20.25" x14ac:dyDescent="0.25">
      <c r="A110" s="102"/>
      <c r="B110" s="22"/>
      <c r="C110" s="33"/>
      <c r="D110" s="33"/>
    </row>
    <row r="111" spans="1:4" ht="20.25" x14ac:dyDescent="0.25">
      <c r="A111" s="102"/>
      <c r="B111" s="22"/>
      <c r="C111" s="33"/>
      <c r="D111" s="33"/>
    </row>
    <row r="112" spans="1:4" ht="20.25" x14ac:dyDescent="0.25">
      <c r="A112" s="102"/>
      <c r="B112" s="22"/>
      <c r="C112" s="33"/>
      <c r="D112" s="33"/>
    </row>
    <row r="113" spans="1:4" ht="20.25" x14ac:dyDescent="0.25">
      <c r="A113" s="102"/>
      <c r="B113" s="22"/>
      <c r="C113" s="33"/>
      <c r="D113" s="33"/>
    </row>
    <row r="114" spans="1:4" ht="20.25" x14ac:dyDescent="0.25">
      <c r="A114" s="102"/>
      <c r="B114" s="22"/>
      <c r="C114" s="33"/>
      <c r="D114" s="33"/>
    </row>
    <row r="115" spans="1:4" ht="20.25" x14ac:dyDescent="0.25">
      <c r="A115" s="102"/>
      <c r="B115" s="22"/>
      <c r="C115" s="33"/>
      <c r="D115" s="33"/>
    </row>
    <row r="116" spans="1:4" ht="20.25" x14ac:dyDescent="0.25">
      <c r="A116" s="102"/>
      <c r="B116" s="22"/>
      <c r="C116" s="33"/>
      <c r="D116" s="33"/>
    </row>
    <row r="117" spans="1:4" ht="20.25" x14ac:dyDescent="0.25">
      <c r="A117" s="102"/>
      <c r="B117" s="22"/>
      <c r="C117" s="33"/>
      <c r="D117" s="33"/>
    </row>
    <row r="118" spans="1:4" ht="20.25" x14ac:dyDescent="0.25">
      <c r="A118" s="102"/>
      <c r="B118" s="22"/>
      <c r="C118" s="33"/>
      <c r="D118" s="33"/>
    </row>
    <row r="119" spans="1:4" ht="20.25" x14ac:dyDescent="0.25">
      <c r="A119" s="102"/>
      <c r="B119" s="22"/>
      <c r="C119" s="33"/>
      <c r="D119" s="33"/>
    </row>
    <row r="120" spans="1:4" ht="20.25" x14ac:dyDescent="0.25">
      <c r="A120" s="102"/>
      <c r="B120" s="22"/>
      <c r="C120" s="33"/>
      <c r="D120" s="33"/>
    </row>
    <row r="121" spans="1:4" ht="20.25" x14ac:dyDescent="0.25">
      <c r="A121" s="102"/>
      <c r="B121" s="22"/>
      <c r="C121" s="33"/>
      <c r="D121" s="33"/>
    </row>
    <row r="122" spans="1:4" ht="20.25" x14ac:dyDescent="0.25">
      <c r="A122" s="102"/>
      <c r="B122" s="22"/>
      <c r="C122" s="33"/>
      <c r="D122" s="33"/>
    </row>
    <row r="123" spans="1:4" ht="20.25" x14ac:dyDescent="0.25">
      <c r="A123" s="102"/>
      <c r="B123" s="22"/>
      <c r="C123" s="33"/>
      <c r="D123" s="33"/>
    </row>
    <row r="124" spans="1:4" ht="20.25" x14ac:dyDescent="0.25">
      <c r="A124" s="102"/>
      <c r="B124" s="22"/>
      <c r="C124" s="33"/>
      <c r="D124" s="33"/>
    </row>
    <row r="125" spans="1:4" ht="20.25" x14ac:dyDescent="0.25">
      <c r="A125" s="102"/>
      <c r="B125" s="22"/>
      <c r="C125" s="33"/>
      <c r="D125" s="33"/>
    </row>
    <row r="126" spans="1:4" ht="20.25" x14ac:dyDescent="0.25">
      <c r="A126" s="102"/>
      <c r="B126" s="22"/>
      <c r="C126" s="33"/>
      <c r="D126" s="33"/>
    </row>
    <row r="127" spans="1:4" ht="20.25" x14ac:dyDescent="0.25">
      <c r="A127" s="102"/>
      <c r="B127" s="22"/>
      <c r="C127" s="33"/>
      <c r="D127" s="33"/>
    </row>
    <row r="128" spans="1:4" ht="20.25" x14ac:dyDescent="0.25">
      <c r="A128" s="102"/>
      <c r="B128" s="22"/>
      <c r="C128" s="33"/>
      <c r="D128" s="33"/>
    </row>
    <row r="129" spans="1:4" ht="20.25" x14ac:dyDescent="0.25">
      <c r="A129" s="102"/>
      <c r="B129" s="22"/>
      <c r="C129" s="33"/>
      <c r="D129" s="33"/>
    </row>
    <row r="130" spans="1:4" ht="20.25" x14ac:dyDescent="0.25">
      <c r="A130" s="102"/>
      <c r="B130" s="22"/>
      <c r="C130" s="33"/>
      <c r="D130" s="33"/>
    </row>
    <row r="131" spans="1:4" ht="20.25" x14ac:dyDescent="0.25">
      <c r="A131" s="102"/>
      <c r="B131" s="22"/>
      <c r="C131" s="33"/>
      <c r="D131" s="33"/>
    </row>
    <row r="132" spans="1:4" ht="20.25" x14ac:dyDescent="0.25">
      <c r="A132" s="102"/>
      <c r="B132" s="22"/>
      <c r="C132" s="33"/>
      <c r="D132" s="33"/>
    </row>
    <row r="133" spans="1:4" ht="20.25" x14ac:dyDescent="0.25">
      <c r="A133" s="102"/>
      <c r="B133" s="22"/>
      <c r="C133" s="33"/>
      <c r="D133" s="33"/>
    </row>
    <row r="134" spans="1:4" ht="20.25" x14ac:dyDescent="0.25">
      <c r="A134" s="102"/>
      <c r="B134" s="22"/>
      <c r="C134" s="33"/>
      <c r="D134" s="33"/>
    </row>
    <row r="135" spans="1:4" ht="20.25" x14ac:dyDescent="0.25">
      <c r="A135" s="102"/>
      <c r="B135" s="22"/>
      <c r="C135" s="33"/>
      <c r="D135" s="33"/>
    </row>
    <row r="136" spans="1:4" ht="20.25" x14ac:dyDescent="0.25">
      <c r="A136" s="102"/>
      <c r="B136" s="22"/>
      <c r="C136" s="33"/>
      <c r="D136" s="33"/>
    </row>
    <row r="137" spans="1:4" ht="20.25" x14ac:dyDescent="0.25">
      <c r="A137" s="102"/>
      <c r="B137" s="22"/>
      <c r="C137" s="33"/>
      <c r="D137" s="33"/>
    </row>
    <row r="138" spans="1:4" ht="20.25" x14ac:dyDescent="0.25">
      <c r="A138" s="102"/>
      <c r="B138" s="22"/>
      <c r="C138" s="33"/>
      <c r="D138" s="33"/>
    </row>
    <row r="139" spans="1:4" ht="20.25" x14ac:dyDescent="0.25">
      <c r="A139" s="102"/>
      <c r="B139" s="22"/>
      <c r="C139" s="33"/>
      <c r="D139" s="33"/>
    </row>
    <row r="140" spans="1:4" ht="20.25" x14ac:dyDescent="0.25">
      <c r="A140" s="102"/>
      <c r="B140" s="22"/>
      <c r="C140" s="33"/>
      <c r="D140" s="33"/>
    </row>
    <row r="141" spans="1:4" ht="20.25" x14ac:dyDescent="0.25">
      <c r="A141" s="102"/>
      <c r="B141" s="22"/>
      <c r="C141" s="33"/>
      <c r="D141" s="33"/>
    </row>
    <row r="142" spans="1:4" ht="20.25" x14ac:dyDescent="0.25">
      <c r="A142" s="102"/>
      <c r="B142" s="22"/>
      <c r="C142" s="33"/>
      <c r="D142" s="33"/>
    </row>
    <row r="143" spans="1:4" ht="20.25" x14ac:dyDescent="0.25">
      <c r="A143" s="102"/>
      <c r="B143" s="22"/>
      <c r="C143" s="33"/>
      <c r="D143" s="33"/>
    </row>
    <row r="144" spans="1:4" ht="20.25" x14ac:dyDescent="0.25">
      <c r="A144" s="102"/>
      <c r="B144" s="22"/>
      <c r="C144" s="33"/>
      <c r="D144" s="33"/>
    </row>
    <row r="145" spans="1:4" ht="20.25" x14ac:dyDescent="0.25">
      <c r="A145" s="102"/>
      <c r="B145" s="22"/>
      <c r="C145" s="33"/>
      <c r="D145" s="33"/>
    </row>
    <row r="146" spans="1:4" ht="20.25" x14ac:dyDescent="0.25">
      <c r="A146" s="102"/>
      <c r="B146" s="22"/>
      <c r="C146" s="33"/>
      <c r="D146" s="33"/>
    </row>
    <row r="147" spans="1:4" ht="20.25" x14ac:dyDescent="0.25">
      <c r="A147" s="102"/>
      <c r="B147" s="22"/>
      <c r="C147" s="33"/>
      <c r="D147" s="33"/>
    </row>
    <row r="148" spans="1:4" ht="20.25" x14ac:dyDescent="0.25">
      <c r="A148" s="102"/>
      <c r="B148" s="22"/>
      <c r="C148" s="33"/>
      <c r="D148" s="33"/>
    </row>
    <row r="149" spans="1:4" ht="20.25" x14ac:dyDescent="0.25">
      <c r="A149" s="102"/>
      <c r="B149" s="22"/>
      <c r="C149" s="33"/>
      <c r="D149" s="33"/>
    </row>
    <row r="150" spans="1:4" ht="20.25" x14ac:dyDescent="0.25">
      <c r="A150" s="102"/>
      <c r="B150" s="22"/>
      <c r="C150" s="33"/>
      <c r="D150" s="33"/>
    </row>
    <row r="151" spans="1:4" ht="20.25" x14ac:dyDescent="0.25">
      <c r="A151" s="102"/>
      <c r="B151" s="22"/>
      <c r="C151" s="33"/>
      <c r="D151" s="33"/>
    </row>
    <row r="152" spans="1:4" ht="20.25" x14ac:dyDescent="0.25">
      <c r="A152" s="102"/>
      <c r="B152" s="22"/>
      <c r="C152" s="33"/>
      <c r="D152" s="33"/>
    </row>
    <row r="153" spans="1:4" ht="20.25" x14ac:dyDescent="0.25">
      <c r="A153" s="102"/>
      <c r="B153" s="22"/>
      <c r="C153" s="33"/>
      <c r="D153" s="33"/>
    </row>
    <row r="154" spans="1:4" ht="20.25" x14ac:dyDescent="0.25">
      <c r="A154" s="102"/>
      <c r="B154" s="22"/>
      <c r="C154" s="33"/>
      <c r="D154" s="33"/>
    </row>
    <row r="155" spans="1:4" ht="20.25" x14ac:dyDescent="0.25">
      <c r="A155" s="102"/>
      <c r="B155" s="22"/>
      <c r="C155" s="33"/>
      <c r="D155" s="33"/>
    </row>
    <row r="156" spans="1:4" ht="20.25" x14ac:dyDescent="0.25">
      <c r="A156" s="102"/>
      <c r="B156" s="22"/>
      <c r="C156" s="33"/>
      <c r="D156" s="33"/>
    </row>
    <row r="157" spans="1:4" ht="20.25" x14ac:dyDescent="0.25">
      <c r="A157" s="102"/>
      <c r="B157" s="22"/>
      <c r="C157" s="33"/>
      <c r="D157" s="33"/>
    </row>
    <row r="158" spans="1:4" ht="20.25" x14ac:dyDescent="0.25">
      <c r="A158" s="102"/>
      <c r="B158" s="22"/>
      <c r="C158" s="33"/>
      <c r="D158" s="33"/>
    </row>
    <row r="159" spans="1:4" ht="20.25" x14ac:dyDescent="0.25">
      <c r="A159" s="102"/>
      <c r="B159" s="22"/>
      <c r="C159" s="33"/>
      <c r="D159" s="33"/>
    </row>
    <row r="160" spans="1:4" ht="20.25" x14ac:dyDescent="0.25">
      <c r="A160" s="102"/>
      <c r="B160" s="22"/>
      <c r="C160" s="33"/>
      <c r="D160" s="33"/>
    </row>
    <row r="161" spans="1:4" ht="20.25" x14ac:dyDescent="0.25">
      <c r="A161" s="102"/>
      <c r="B161" s="22"/>
      <c r="C161" s="33"/>
      <c r="D161" s="33"/>
    </row>
    <row r="162" spans="1:4" ht="20.25" x14ac:dyDescent="0.25">
      <c r="A162" s="102"/>
      <c r="B162" s="22"/>
      <c r="C162" s="33"/>
      <c r="D162" s="33"/>
    </row>
    <row r="163" spans="1:4" ht="20.25" x14ac:dyDescent="0.25">
      <c r="A163" s="102"/>
      <c r="B163" s="22"/>
      <c r="C163" s="33"/>
      <c r="D163" s="33"/>
    </row>
    <row r="164" spans="1:4" ht="20.25" x14ac:dyDescent="0.25">
      <c r="A164" s="102"/>
      <c r="B164" s="22"/>
      <c r="C164" s="33"/>
      <c r="D164" s="33"/>
    </row>
    <row r="165" spans="1:4" ht="20.25" x14ac:dyDescent="0.25">
      <c r="A165" s="102"/>
      <c r="B165" s="22"/>
      <c r="C165" s="33"/>
      <c r="D165" s="33"/>
    </row>
    <row r="166" spans="1:4" ht="20.25" x14ac:dyDescent="0.25">
      <c r="A166" s="102"/>
      <c r="B166" s="22"/>
      <c r="C166" s="33"/>
      <c r="D166" s="33"/>
    </row>
    <row r="167" spans="1:4" ht="20.25" x14ac:dyDescent="0.25">
      <c r="A167" s="102"/>
      <c r="B167" s="22"/>
      <c r="C167" s="33"/>
      <c r="D167" s="33"/>
    </row>
    <row r="168" spans="1:4" ht="20.25" x14ac:dyDescent="0.25">
      <c r="A168" s="102"/>
      <c r="B168" s="22"/>
      <c r="C168" s="33"/>
      <c r="D168" s="33"/>
    </row>
    <row r="169" spans="1:4" ht="20.25" x14ac:dyDescent="0.25">
      <c r="A169" s="102"/>
      <c r="B169" s="22"/>
      <c r="C169" s="33"/>
      <c r="D169" s="33"/>
    </row>
    <row r="170" spans="1:4" ht="20.25" x14ac:dyDescent="0.25">
      <c r="A170" s="102"/>
      <c r="B170" s="22"/>
      <c r="C170" s="33"/>
      <c r="D170" s="33"/>
    </row>
    <row r="171" spans="1:4" ht="20.25" x14ac:dyDescent="0.25">
      <c r="A171" s="102"/>
      <c r="B171" s="22"/>
      <c r="C171" s="33"/>
      <c r="D171" s="33"/>
    </row>
    <row r="172" spans="1:4" ht="20.25" x14ac:dyDescent="0.25">
      <c r="A172" s="102"/>
      <c r="B172" s="22"/>
      <c r="C172" s="33"/>
      <c r="D172" s="33"/>
    </row>
    <row r="173" spans="1:4" ht="20.25" x14ac:dyDescent="0.25">
      <c r="A173" s="102"/>
      <c r="B173" s="22"/>
      <c r="C173" s="33"/>
      <c r="D173" s="33"/>
    </row>
    <row r="174" spans="1:4" ht="20.25" x14ac:dyDescent="0.25">
      <c r="A174" s="102"/>
      <c r="B174" s="22"/>
      <c r="C174" s="33"/>
      <c r="D174" s="33"/>
    </row>
    <row r="175" spans="1:4" ht="20.25" x14ac:dyDescent="0.25">
      <c r="A175" s="102"/>
      <c r="B175" s="22"/>
      <c r="C175" s="33"/>
      <c r="D175" s="33"/>
    </row>
    <row r="176" spans="1:4" ht="20.25" x14ac:dyDescent="0.25">
      <c r="A176" s="102"/>
      <c r="B176" s="22"/>
      <c r="C176" s="33"/>
      <c r="D176" s="33"/>
    </row>
    <row r="177" spans="1:4" ht="20.25" x14ac:dyDescent="0.25">
      <c r="A177" s="102"/>
      <c r="B177" s="22"/>
      <c r="C177" s="33"/>
      <c r="D177" s="33"/>
    </row>
    <row r="178" spans="1:4" ht="20.25" x14ac:dyDescent="0.25">
      <c r="A178" s="102"/>
      <c r="B178" s="22"/>
      <c r="C178" s="33"/>
      <c r="D178" s="33"/>
    </row>
    <row r="179" spans="1:4" ht="20.25" x14ac:dyDescent="0.25">
      <c r="A179" s="102"/>
      <c r="B179" s="22"/>
      <c r="C179" s="33"/>
      <c r="D179" s="33"/>
    </row>
    <row r="180" spans="1:4" ht="20.25" x14ac:dyDescent="0.25">
      <c r="A180" s="102"/>
      <c r="B180" s="22"/>
      <c r="C180" s="33"/>
      <c r="D180" s="33"/>
    </row>
    <row r="181" spans="1:4" ht="20.25" x14ac:dyDescent="0.25">
      <c r="A181" s="102"/>
      <c r="B181" s="22"/>
      <c r="C181" s="33"/>
      <c r="D181" s="33"/>
    </row>
    <row r="182" spans="1:4" ht="20.25" x14ac:dyDescent="0.25">
      <c r="A182" s="102"/>
      <c r="B182" s="22"/>
      <c r="C182" s="33"/>
      <c r="D182" s="33"/>
    </row>
    <row r="183" spans="1:4" ht="20.25" x14ac:dyDescent="0.25">
      <c r="A183" s="102"/>
      <c r="B183" s="22"/>
      <c r="C183" s="33"/>
      <c r="D183" s="33"/>
    </row>
    <row r="184" spans="1:4" ht="20.25" x14ac:dyDescent="0.25">
      <c r="A184" s="102"/>
      <c r="B184" s="22"/>
      <c r="C184" s="33"/>
      <c r="D184" s="33"/>
    </row>
    <row r="185" spans="1:4" ht="20.25" x14ac:dyDescent="0.25">
      <c r="A185" s="102"/>
      <c r="B185" s="22"/>
      <c r="C185" s="33"/>
      <c r="D185" s="33"/>
    </row>
    <row r="186" spans="1:4" ht="20.25" x14ac:dyDescent="0.25">
      <c r="A186" s="102"/>
      <c r="B186" s="22"/>
      <c r="C186" s="33"/>
      <c r="D186" s="33"/>
    </row>
    <row r="187" spans="1:4" ht="20.25" x14ac:dyDescent="0.25">
      <c r="A187" s="102"/>
      <c r="B187" s="22"/>
      <c r="C187" s="33"/>
      <c r="D187" s="33"/>
    </row>
    <row r="188" spans="1:4" ht="20.25" x14ac:dyDescent="0.25">
      <c r="A188" s="102"/>
      <c r="B188" s="22"/>
      <c r="C188" s="33"/>
      <c r="D188" s="33"/>
    </row>
    <row r="189" spans="1:4" ht="20.25" x14ac:dyDescent="0.25">
      <c r="A189" s="102"/>
      <c r="B189" s="22"/>
      <c r="C189" s="33"/>
      <c r="D189" s="33"/>
    </row>
    <row r="190" spans="1:4" ht="20.25" x14ac:dyDescent="0.25">
      <c r="A190" s="102"/>
      <c r="B190" s="22"/>
      <c r="C190" s="33"/>
      <c r="D190" s="33"/>
    </row>
    <row r="191" spans="1:4" ht="20.25" x14ac:dyDescent="0.25">
      <c r="A191" s="102"/>
      <c r="B191" s="22"/>
      <c r="C191" s="33"/>
      <c r="D191" s="33"/>
    </row>
    <row r="192" spans="1:4" ht="20.25" x14ac:dyDescent="0.25">
      <c r="A192" s="102"/>
      <c r="B192" s="22"/>
      <c r="C192" s="33"/>
      <c r="D192" s="33"/>
    </row>
    <row r="193" spans="1:4" ht="20.25" x14ac:dyDescent="0.25">
      <c r="A193" s="102"/>
      <c r="B193" s="22"/>
      <c r="C193" s="33"/>
      <c r="D193" s="33"/>
    </row>
    <row r="194" spans="1:4" ht="20.25" x14ac:dyDescent="0.25">
      <c r="A194" s="102"/>
      <c r="B194" s="22"/>
      <c r="C194" s="33"/>
      <c r="D194" s="33"/>
    </row>
    <row r="195" spans="1:4" ht="20.25" x14ac:dyDescent="0.25">
      <c r="A195" s="102"/>
      <c r="B195" s="22"/>
      <c r="C195" s="33"/>
      <c r="D195" s="33"/>
    </row>
    <row r="196" spans="1:4" ht="20.25" x14ac:dyDescent="0.25">
      <c r="A196" s="102"/>
      <c r="B196" s="22"/>
      <c r="C196" s="33"/>
      <c r="D196" s="33"/>
    </row>
    <row r="197" spans="1:4" ht="20.25" x14ac:dyDescent="0.25">
      <c r="A197" s="102"/>
      <c r="B197" s="22"/>
      <c r="C197" s="33"/>
      <c r="D197" s="33"/>
    </row>
    <row r="198" spans="1:4" ht="20.25" x14ac:dyDescent="0.25">
      <c r="A198" s="102"/>
      <c r="B198" s="22"/>
      <c r="C198" s="33"/>
      <c r="D198" s="33"/>
    </row>
    <row r="199" spans="1:4" ht="20.25" x14ac:dyDescent="0.25">
      <c r="A199" s="102"/>
      <c r="B199" s="22"/>
      <c r="C199" s="33"/>
      <c r="D199" s="33"/>
    </row>
    <row r="200" spans="1:4" ht="20.25" x14ac:dyDescent="0.25">
      <c r="A200" s="102"/>
      <c r="B200" s="22"/>
      <c r="C200" s="33"/>
      <c r="D200" s="33"/>
    </row>
    <row r="201" spans="1:4" ht="20.25" x14ac:dyDescent="0.25">
      <c r="A201" s="102"/>
      <c r="B201" s="22"/>
      <c r="C201" s="33"/>
      <c r="D201" s="33"/>
    </row>
    <row r="202" spans="1:4" ht="20.25" x14ac:dyDescent="0.25">
      <c r="A202" s="102"/>
      <c r="B202" s="22"/>
      <c r="C202" s="33"/>
      <c r="D202" s="33"/>
    </row>
    <row r="203" spans="1:4" ht="20.25" x14ac:dyDescent="0.25">
      <c r="A203" s="102"/>
      <c r="B203" s="22"/>
      <c r="C203" s="33"/>
      <c r="D203" s="33"/>
    </row>
    <row r="204" spans="1:4" ht="20.25" x14ac:dyDescent="0.25">
      <c r="A204" s="102"/>
      <c r="B204" s="22"/>
      <c r="C204" s="33"/>
      <c r="D204" s="33"/>
    </row>
    <row r="205" spans="1:4" ht="20.25" x14ac:dyDescent="0.25">
      <c r="A205" s="102"/>
      <c r="B205" s="22"/>
      <c r="C205" s="33"/>
      <c r="D205" s="33"/>
    </row>
    <row r="206" spans="1:4" ht="20.25" x14ac:dyDescent="0.25">
      <c r="A206" s="102"/>
      <c r="B206" s="22"/>
      <c r="C206" s="33"/>
      <c r="D206" s="33"/>
    </row>
    <row r="207" spans="1:4" ht="20.25" x14ac:dyDescent="0.25">
      <c r="A207" s="102"/>
      <c r="B207" s="22"/>
      <c r="C207" s="33"/>
      <c r="D207" s="33"/>
    </row>
    <row r="208" spans="1:4" x14ac:dyDescent="0.25">
      <c r="A208" s="82"/>
      <c r="B208" s="22"/>
      <c r="C208" s="22"/>
      <c r="D208" s="22"/>
    </row>
    <row r="209" spans="1:8" ht="20.25" x14ac:dyDescent="0.25">
      <c r="A209" s="82"/>
      <c r="B209" s="29" t="s">
        <v>85</v>
      </c>
      <c r="C209" s="29" t="s">
        <v>127</v>
      </c>
      <c r="D209" s="32" t="s">
        <v>85</v>
      </c>
      <c r="E209" s="32" t="s">
        <v>127</v>
      </c>
    </row>
    <row r="210" spans="1:8" ht="21" x14ac:dyDescent="0.35">
      <c r="A210" s="82"/>
      <c r="B210" s="30" t="s">
        <v>87</v>
      </c>
      <c r="C210" s="30" t="s">
        <v>56</v>
      </c>
      <c r="D210" t="s">
        <v>87</v>
      </c>
      <c r="F210" t="str">
        <f>IF(NOT(ISBLANK(D210)),D210,IF(NOT(ISBLANK(E210)),"     "&amp;E210,FALSE))</f>
        <v>Afectación Económica o presupuestal</v>
      </c>
      <c r="G210" t="s">
        <v>87</v>
      </c>
      <c r="H210" t="str">
        <f ca="1">IF(NOT(ISERROR(MATCH(G210,_xlfn.ANCHORARRAY(B221),0))),F223&amp;"Por favor no seleccionar los criterios de impacto",G210)</f>
        <v>Afectación Económica o presupuestal</v>
      </c>
    </row>
    <row r="211" spans="1:8" ht="21" x14ac:dyDescent="0.35">
      <c r="A211" s="82"/>
      <c r="B211" s="30" t="s">
        <v>87</v>
      </c>
      <c r="C211" s="30" t="s">
        <v>90</v>
      </c>
      <c r="E211" t="s">
        <v>56</v>
      </c>
      <c r="F211" t="str">
        <f t="shared" ref="F211:F221" si="0">IF(NOT(ISBLANK(D211)),D211,IF(NOT(ISBLANK(E211)),"     "&amp;E211,FALSE))</f>
        <v xml:space="preserve">     Afectación menor a 10 SMLMV .</v>
      </c>
    </row>
    <row r="212" spans="1:8" ht="21" x14ac:dyDescent="0.35">
      <c r="A212" s="82"/>
      <c r="B212" s="30" t="s">
        <v>87</v>
      </c>
      <c r="C212" s="30" t="s">
        <v>91</v>
      </c>
      <c r="E212" t="s">
        <v>90</v>
      </c>
      <c r="F212" t="str">
        <f t="shared" si="0"/>
        <v xml:space="preserve">     Entre 10 y 50 SMLMV </v>
      </c>
    </row>
    <row r="213" spans="1:8" ht="21" x14ac:dyDescent="0.35">
      <c r="A213" s="82"/>
      <c r="B213" s="30" t="s">
        <v>87</v>
      </c>
      <c r="C213" s="30" t="s">
        <v>92</v>
      </c>
      <c r="E213" t="s">
        <v>91</v>
      </c>
      <c r="F213" t="str">
        <f t="shared" si="0"/>
        <v xml:space="preserve">     Entre 50 y 100 SMLMV </v>
      </c>
    </row>
    <row r="214" spans="1:8" ht="21" x14ac:dyDescent="0.35">
      <c r="A214" s="82"/>
      <c r="B214" s="30" t="s">
        <v>87</v>
      </c>
      <c r="C214" s="30" t="s">
        <v>93</v>
      </c>
      <c r="E214" t="s">
        <v>92</v>
      </c>
      <c r="F214" t="str">
        <f t="shared" si="0"/>
        <v xml:space="preserve">     Entre 100 y 500 SMLMV </v>
      </c>
    </row>
    <row r="215" spans="1:8" ht="21" x14ac:dyDescent="0.35">
      <c r="A215" s="82"/>
      <c r="B215" s="30" t="s">
        <v>55</v>
      </c>
      <c r="C215" s="30" t="s">
        <v>94</v>
      </c>
      <c r="E215" t="s">
        <v>93</v>
      </c>
      <c r="F215" t="str">
        <f t="shared" si="0"/>
        <v xml:space="preserve">     Mayor a 500 SMLMV </v>
      </c>
    </row>
    <row r="216" spans="1:8" ht="21" x14ac:dyDescent="0.35">
      <c r="A216" s="82"/>
      <c r="B216" s="30" t="s">
        <v>55</v>
      </c>
      <c r="C216" s="30" t="s">
        <v>95</v>
      </c>
      <c r="D216" t="s">
        <v>55</v>
      </c>
      <c r="F216" t="str">
        <f t="shared" si="0"/>
        <v>Pérdida Reputacional</v>
      </c>
    </row>
    <row r="217" spans="1:8" ht="21" x14ac:dyDescent="0.35">
      <c r="A217" s="82"/>
      <c r="B217" s="30" t="s">
        <v>55</v>
      </c>
      <c r="C217" s="30" t="s">
        <v>97</v>
      </c>
      <c r="E217" t="s">
        <v>94</v>
      </c>
      <c r="F217" t="str">
        <f t="shared" si="0"/>
        <v xml:space="preserve">     El riesgo afecta la imagen de alguna área de la organización</v>
      </c>
    </row>
    <row r="218" spans="1:8" ht="21" x14ac:dyDescent="0.35">
      <c r="A218" s="82"/>
      <c r="B218" s="30" t="s">
        <v>55</v>
      </c>
      <c r="C218" s="30" t="s">
        <v>96</v>
      </c>
      <c r="E218" t="s">
        <v>95</v>
      </c>
      <c r="F218" t="str">
        <f t="shared" si="0"/>
        <v xml:space="preserve">     El riesgo afecta la imagen de la entidad internamente, de conocimiento general, nivel interno, de junta dircetiva y accionistas y/o de provedores</v>
      </c>
    </row>
    <row r="219" spans="1:8" ht="21" x14ac:dyDescent="0.35">
      <c r="A219" s="82"/>
      <c r="B219" s="30" t="s">
        <v>55</v>
      </c>
      <c r="C219" s="30" t="s">
        <v>110</v>
      </c>
      <c r="E219" t="s">
        <v>97</v>
      </c>
      <c r="F219" t="str">
        <f t="shared" si="0"/>
        <v xml:space="preserve">     El riesgo afecta la imagen de la entidad con algunos usuarios de relevancia frente al logro de los objetivos</v>
      </c>
    </row>
    <row r="220" spans="1:8" x14ac:dyDescent="0.25">
      <c r="A220" s="82"/>
      <c r="B220" s="31"/>
      <c r="C220" s="31"/>
      <c r="E220" t="s">
        <v>96</v>
      </c>
      <c r="F220" t="str">
        <f t="shared" si="0"/>
        <v xml:space="preserve">     El riesgo afecta la imagen de de la entidad con efecto publicitario sostenido a nivel de sector administrativo, nivel departamental o municipal</v>
      </c>
    </row>
    <row r="221" spans="1:8" x14ac:dyDescent="0.25">
      <c r="A221" s="82"/>
      <c r="B221" s="31" t="e" cm="1">
        <f t="array" aca="1" ref="B221:B223" ca="1">_xlfn.UNIQUE(Tabla1[[#All],[Criterios]])</f>
        <v>#NAME?</v>
      </c>
      <c r="C221" s="31"/>
      <c r="E221" t="s">
        <v>110</v>
      </c>
      <c r="F221" t="str">
        <f t="shared" si="0"/>
        <v xml:space="preserve">     El riesgo afecta la imagen de la entidad a nivel nacional, con efecto publicitarios sostenible a nivel país</v>
      </c>
    </row>
    <row r="222" spans="1:8" x14ac:dyDescent="0.25">
      <c r="A222" s="82"/>
      <c r="B222" s="31" t="e">
        <f ca="1"/>
        <v>#NAME?</v>
      </c>
      <c r="C222" s="31"/>
    </row>
    <row r="223" spans="1:8" x14ac:dyDescent="0.25">
      <c r="B223" s="31" t="e">
        <f ca="1"/>
        <v>#NAME?</v>
      </c>
      <c r="C223" s="31"/>
      <c r="F223" s="34" t="s">
        <v>129</v>
      </c>
    </row>
    <row r="224" spans="1:8" x14ac:dyDescent="0.25">
      <c r="B224" s="21"/>
      <c r="C224" s="21"/>
      <c r="F224" s="34" t="s">
        <v>130</v>
      </c>
    </row>
    <row r="225" spans="2:4" x14ac:dyDescent="0.25">
      <c r="B225" s="21"/>
      <c r="C225" s="21"/>
    </row>
    <row r="226" spans="2:4" x14ac:dyDescent="0.25">
      <c r="B226" s="21"/>
      <c r="C226" s="21"/>
    </row>
    <row r="227" spans="2:4" x14ac:dyDescent="0.25">
      <c r="B227" s="21" t="s">
        <v>199</v>
      </c>
      <c r="C227" s="21"/>
      <c r="D227" s="21"/>
    </row>
    <row r="228" spans="2:4" x14ac:dyDescent="0.25">
      <c r="B228" t="s">
        <v>85</v>
      </c>
      <c r="C228" s="21" t="s">
        <v>127</v>
      </c>
      <c r="D228" s="32" t="s">
        <v>200</v>
      </c>
    </row>
    <row r="229" spans="2:4" x14ac:dyDescent="0.25">
      <c r="B229" s="145" t="s">
        <v>202</v>
      </c>
      <c r="C229" s="21" t="s">
        <v>192</v>
      </c>
      <c r="D229" s="143" t="s">
        <v>202</v>
      </c>
    </row>
    <row r="230" spans="2:4" x14ac:dyDescent="0.25">
      <c r="B230" s="145" t="s">
        <v>202</v>
      </c>
      <c r="C230" s="21" t="s">
        <v>193</v>
      </c>
      <c r="D230" s="144" t="s">
        <v>192</v>
      </c>
    </row>
    <row r="231" spans="2:4" x14ac:dyDescent="0.25">
      <c r="B231" s="145" t="s">
        <v>202</v>
      </c>
      <c r="C231" s="21" t="s">
        <v>194</v>
      </c>
      <c r="D231" s="144" t="s">
        <v>193</v>
      </c>
    </row>
    <row r="232" spans="2:4" x14ac:dyDescent="0.25">
      <c r="B232" s="145" t="s">
        <v>203</v>
      </c>
      <c r="C232" s="21" t="s">
        <v>195</v>
      </c>
      <c r="D232" s="144" t="s">
        <v>194</v>
      </c>
    </row>
    <row r="233" spans="2:4" x14ac:dyDescent="0.25">
      <c r="B233" s="145" t="s">
        <v>203</v>
      </c>
      <c r="C233" s="21" t="s">
        <v>196</v>
      </c>
      <c r="D233" s="143" t="s">
        <v>203</v>
      </c>
    </row>
    <row r="234" spans="2:4" x14ac:dyDescent="0.25">
      <c r="B234" s="145" t="s">
        <v>203</v>
      </c>
      <c r="C234" s="21" t="s">
        <v>197</v>
      </c>
      <c r="D234" s="144" t="s">
        <v>195</v>
      </c>
    </row>
    <row r="235" spans="2:4" x14ac:dyDescent="0.25">
      <c r="B235" s="145" t="s">
        <v>203</v>
      </c>
      <c r="C235" s="21" t="s">
        <v>198</v>
      </c>
      <c r="D235" s="144" t="s">
        <v>196</v>
      </c>
    </row>
    <row r="236" spans="2:4" x14ac:dyDescent="0.25">
      <c r="D236" s="144" t="s">
        <v>197</v>
      </c>
    </row>
    <row r="237" spans="2:4" x14ac:dyDescent="0.25">
      <c r="D237" s="144" t="s">
        <v>198</v>
      </c>
    </row>
    <row r="238" spans="2:4" x14ac:dyDescent="0.25">
      <c r="D238" s="143" t="s">
        <v>201</v>
      </c>
    </row>
  </sheetData>
  <mergeCells count="1">
    <mergeCell ref="B1:D1"/>
  </mergeCells>
  <dataValidations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F4" sqref="F4:F6"/>
    </sheetView>
  </sheetViews>
  <sheetFormatPr baseColWidth="10" defaultColWidth="14.42578125" defaultRowHeight="12.75" x14ac:dyDescent="0.2"/>
  <cols>
    <col min="1" max="2" width="14.42578125" style="87"/>
    <col min="3" max="3" width="17" style="87" customWidth="1"/>
    <col min="4" max="4" width="14.42578125" style="87"/>
    <col min="5" max="5" width="46" style="87" customWidth="1"/>
    <col min="6" max="16384" width="14.42578125" style="87"/>
  </cols>
  <sheetData>
    <row r="1" spans="2:6" ht="24" customHeight="1" thickBot="1" x14ac:dyDescent="0.25">
      <c r="B1" s="403" t="s">
        <v>204</v>
      </c>
      <c r="C1" s="404"/>
      <c r="D1" s="404"/>
      <c r="E1" s="404"/>
      <c r="F1" s="405"/>
    </row>
    <row r="2" spans="2:6" ht="16.5" thickBot="1" x14ac:dyDescent="0.3">
      <c r="B2" s="88"/>
      <c r="C2" s="88"/>
      <c r="D2" s="88"/>
      <c r="E2" s="88"/>
      <c r="F2" s="88"/>
    </row>
    <row r="3" spans="2:6" ht="16.5" thickBot="1" x14ac:dyDescent="0.25">
      <c r="B3" s="407" t="s">
        <v>62</v>
      </c>
      <c r="C3" s="408"/>
      <c r="D3" s="408"/>
      <c r="E3" s="100" t="s">
        <v>63</v>
      </c>
      <c r="F3" s="101" t="s">
        <v>64</v>
      </c>
    </row>
    <row r="4" spans="2:6" ht="31.5" x14ac:dyDescent="0.2">
      <c r="B4" s="409" t="s">
        <v>65</v>
      </c>
      <c r="C4" s="411" t="s">
        <v>12</v>
      </c>
      <c r="D4" s="89" t="s">
        <v>13</v>
      </c>
      <c r="E4" s="90" t="s">
        <v>66</v>
      </c>
      <c r="F4" s="91">
        <v>0.25</v>
      </c>
    </row>
    <row r="5" spans="2:6" ht="47.25" x14ac:dyDescent="0.2">
      <c r="B5" s="410"/>
      <c r="C5" s="412"/>
      <c r="D5" s="92" t="s">
        <v>14</v>
      </c>
      <c r="E5" s="93" t="s">
        <v>67</v>
      </c>
      <c r="F5" s="94">
        <v>0.15</v>
      </c>
    </row>
    <row r="6" spans="2:6" ht="47.25" x14ac:dyDescent="0.2">
      <c r="B6" s="410"/>
      <c r="C6" s="412"/>
      <c r="D6" s="92" t="s">
        <v>15</v>
      </c>
      <c r="E6" s="93" t="s">
        <v>68</v>
      </c>
      <c r="F6" s="94">
        <v>0.1</v>
      </c>
    </row>
    <row r="7" spans="2:6" ht="63" x14ac:dyDescent="0.2">
      <c r="B7" s="410"/>
      <c r="C7" s="412" t="s">
        <v>16</v>
      </c>
      <c r="D7" s="92" t="s">
        <v>9</v>
      </c>
      <c r="E7" s="93" t="s">
        <v>69</v>
      </c>
      <c r="F7" s="94">
        <v>0.25</v>
      </c>
    </row>
    <row r="8" spans="2:6" ht="31.5" x14ac:dyDescent="0.2">
      <c r="B8" s="410"/>
      <c r="C8" s="412"/>
      <c r="D8" s="92" t="s">
        <v>8</v>
      </c>
      <c r="E8" s="93" t="s">
        <v>70</v>
      </c>
      <c r="F8" s="94">
        <v>0.15</v>
      </c>
    </row>
    <row r="9" spans="2:6" ht="47.25" x14ac:dyDescent="0.2">
      <c r="B9" s="410" t="s">
        <v>144</v>
      </c>
      <c r="C9" s="412" t="s">
        <v>17</v>
      </c>
      <c r="D9" s="92" t="s">
        <v>18</v>
      </c>
      <c r="E9" s="93" t="s">
        <v>71</v>
      </c>
      <c r="F9" s="95" t="s">
        <v>72</v>
      </c>
    </row>
    <row r="10" spans="2:6" ht="63" x14ac:dyDescent="0.2">
      <c r="B10" s="410"/>
      <c r="C10" s="412"/>
      <c r="D10" s="92" t="s">
        <v>19</v>
      </c>
      <c r="E10" s="93" t="s">
        <v>73</v>
      </c>
      <c r="F10" s="95" t="s">
        <v>72</v>
      </c>
    </row>
    <row r="11" spans="2:6" ht="47.25" x14ac:dyDescent="0.2">
      <c r="B11" s="410"/>
      <c r="C11" s="412" t="s">
        <v>20</v>
      </c>
      <c r="D11" s="92" t="s">
        <v>21</v>
      </c>
      <c r="E11" s="93" t="s">
        <v>74</v>
      </c>
      <c r="F11" s="95" t="s">
        <v>72</v>
      </c>
    </row>
    <row r="12" spans="2:6" ht="47.25" x14ac:dyDescent="0.2">
      <c r="B12" s="410"/>
      <c r="C12" s="412"/>
      <c r="D12" s="92" t="s">
        <v>22</v>
      </c>
      <c r="E12" s="93" t="s">
        <v>75</v>
      </c>
      <c r="F12" s="95" t="s">
        <v>72</v>
      </c>
    </row>
    <row r="13" spans="2:6" ht="31.5" x14ac:dyDescent="0.2">
      <c r="B13" s="410"/>
      <c r="C13" s="412" t="s">
        <v>23</v>
      </c>
      <c r="D13" s="92" t="s">
        <v>111</v>
      </c>
      <c r="E13" s="93" t="s">
        <v>114</v>
      </c>
      <c r="F13" s="95" t="s">
        <v>72</v>
      </c>
    </row>
    <row r="14" spans="2:6" ht="32.25" thickBot="1" x14ac:dyDescent="0.25">
      <c r="B14" s="413"/>
      <c r="C14" s="414"/>
      <c r="D14" s="96" t="s">
        <v>112</v>
      </c>
      <c r="E14" s="97" t="s">
        <v>113</v>
      </c>
      <c r="F14" s="98" t="s">
        <v>72</v>
      </c>
    </row>
    <row r="15" spans="2:6" ht="49.7" customHeight="1" x14ac:dyDescent="0.2">
      <c r="B15" s="406" t="s">
        <v>141</v>
      </c>
      <c r="C15" s="406"/>
      <c r="D15" s="406"/>
      <c r="E15" s="406"/>
      <c r="F15" s="406"/>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D1" zoomScaleNormal="100" workbookViewId="0">
      <selection activeCell="D27" sqref="D27"/>
    </sheetView>
  </sheetViews>
  <sheetFormatPr baseColWidth="10" defaultRowHeight="15" x14ac:dyDescent="0.25"/>
  <cols>
    <col min="1" max="1" width="78.42578125" customWidth="1"/>
    <col min="3" max="3" width="32" bestFit="1" customWidth="1"/>
    <col min="4" max="4" width="119.42578125" bestFit="1" customWidth="1"/>
    <col min="5" max="5" width="81" customWidth="1"/>
  </cols>
  <sheetData>
    <row r="1" spans="1:5" ht="15.75" thickBot="1" x14ac:dyDescent="0.3">
      <c r="A1" s="140" t="s">
        <v>174</v>
      </c>
      <c r="D1" s="415" t="s">
        <v>175</v>
      </c>
      <c r="E1" s="416"/>
    </row>
    <row r="2" spans="1:5" x14ac:dyDescent="0.25">
      <c r="A2" s="150" t="s">
        <v>246</v>
      </c>
      <c r="D2" s="417" t="s">
        <v>176</v>
      </c>
      <c r="E2" s="158" t="s">
        <v>266</v>
      </c>
    </row>
    <row r="3" spans="1:5" x14ac:dyDescent="0.25">
      <c r="A3" s="151" t="s">
        <v>247</v>
      </c>
      <c r="D3" s="418"/>
      <c r="E3" s="159" t="s">
        <v>267</v>
      </c>
    </row>
    <row r="4" spans="1:5" x14ac:dyDescent="0.25">
      <c r="A4" s="152" t="s">
        <v>248</v>
      </c>
      <c r="D4" s="418"/>
      <c r="E4" s="159" t="s">
        <v>268</v>
      </c>
    </row>
    <row r="5" spans="1:5" x14ac:dyDescent="0.25">
      <c r="A5" s="153" t="s">
        <v>249</v>
      </c>
      <c r="D5" s="419"/>
      <c r="E5" s="159" t="s">
        <v>269</v>
      </c>
    </row>
    <row r="6" spans="1:5" ht="30" x14ac:dyDescent="0.25">
      <c r="A6" s="151" t="s">
        <v>250</v>
      </c>
      <c r="D6" s="417" t="s">
        <v>177</v>
      </c>
      <c r="E6" s="159" t="s">
        <v>243</v>
      </c>
    </row>
    <row r="7" spans="1:5" ht="30" x14ac:dyDescent="0.25">
      <c r="A7" s="151" t="s">
        <v>251</v>
      </c>
      <c r="D7" s="418"/>
      <c r="E7" s="159" t="s">
        <v>270</v>
      </c>
    </row>
    <row r="8" spans="1:5" x14ac:dyDescent="0.25">
      <c r="A8" s="154" t="s">
        <v>252</v>
      </c>
      <c r="D8" s="418"/>
      <c r="E8" s="159" t="s">
        <v>242</v>
      </c>
    </row>
    <row r="9" spans="1:5" x14ac:dyDescent="0.25">
      <c r="A9" s="154" t="s">
        <v>253</v>
      </c>
      <c r="D9" s="417" t="s">
        <v>178</v>
      </c>
      <c r="E9" s="159" t="s">
        <v>271</v>
      </c>
    </row>
    <row r="10" spans="1:5" x14ac:dyDescent="0.25">
      <c r="A10" s="155" t="s">
        <v>254</v>
      </c>
      <c r="D10" s="418"/>
      <c r="E10" s="159" t="s">
        <v>272</v>
      </c>
    </row>
    <row r="11" spans="1:5" x14ac:dyDescent="0.25">
      <c r="A11" s="154" t="s">
        <v>255</v>
      </c>
      <c r="D11" s="417" t="s">
        <v>179</v>
      </c>
      <c r="E11" s="159" t="s">
        <v>244</v>
      </c>
    </row>
    <row r="12" spans="1:5" x14ac:dyDescent="0.25">
      <c r="A12" s="156" t="s">
        <v>256</v>
      </c>
      <c r="D12" s="418"/>
      <c r="E12" s="159" t="s">
        <v>273</v>
      </c>
    </row>
    <row r="13" spans="1:5" x14ac:dyDescent="0.25">
      <c r="A13" s="151" t="s">
        <v>257</v>
      </c>
      <c r="D13" s="419"/>
      <c r="E13" s="159" t="s">
        <v>274</v>
      </c>
    </row>
    <row r="14" spans="1:5" ht="30" x14ac:dyDescent="0.25">
      <c r="A14" s="154" t="s">
        <v>258</v>
      </c>
      <c r="E14" s="159" t="s">
        <v>275</v>
      </c>
    </row>
    <row r="15" spans="1:5" x14ac:dyDescent="0.25">
      <c r="A15" s="151" t="s">
        <v>259</v>
      </c>
      <c r="D15" s="141" t="s">
        <v>183</v>
      </c>
      <c r="E15" s="159" t="s">
        <v>245</v>
      </c>
    </row>
    <row r="16" spans="1:5" x14ac:dyDescent="0.25">
      <c r="A16" s="151" t="s">
        <v>260</v>
      </c>
      <c r="D16" s="142" t="s">
        <v>184</v>
      </c>
      <c r="E16" s="159" t="s">
        <v>239</v>
      </c>
    </row>
    <row r="17" spans="1:7" x14ac:dyDescent="0.25">
      <c r="A17" s="156" t="s">
        <v>261</v>
      </c>
      <c r="D17" s="142" t="s">
        <v>185</v>
      </c>
      <c r="E17" s="159" t="s">
        <v>240</v>
      </c>
    </row>
    <row r="18" spans="1:7" x14ac:dyDescent="0.25">
      <c r="A18" s="153" t="s">
        <v>262</v>
      </c>
      <c r="D18" s="142" t="s">
        <v>186</v>
      </c>
      <c r="E18" s="159" t="s">
        <v>238</v>
      </c>
    </row>
    <row r="19" spans="1:7" ht="30" x14ac:dyDescent="0.25">
      <c r="A19" s="154" t="s">
        <v>263</v>
      </c>
      <c r="D19" s="142" t="s">
        <v>187</v>
      </c>
      <c r="E19" s="159" t="s">
        <v>276</v>
      </c>
    </row>
    <row r="20" spans="1:7" x14ac:dyDescent="0.25">
      <c r="A20" s="155" t="s">
        <v>245</v>
      </c>
      <c r="D20" s="142" t="s">
        <v>188</v>
      </c>
      <c r="E20" s="159" t="s">
        <v>241</v>
      </c>
    </row>
    <row r="21" spans="1:7" x14ac:dyDescent="0.25">
      <c r="A21" s="151" t="s">
        <v>264</v>
      </c>
      <c r="D21" s="142" t="s">
        <v>189</v>
      </c>
      <c r="E21" s="159" t="s">
        <v>277</v>
      </c>
    </row>
    <row r="22" spans="1:7" ht="15.75" thickBot="1" x14ac:dyDescent="0.3">
      <c r="A22" s="157" t="s">
        <v>265</v>
      </c>
      <c r="D22" s="142" t="s">
        <v>190</v>
      </c>
      <c r="E22" s="159" t="s">
        <v>278</v>
      </c>
    </row>
    <row r="23" spans="1:7" x14ac:dyDescent="0.25">
      <c r="A23" s="146"/>
      <c r="E23" s="159" t="s">
        <v>279</v>
      </c>
    </row>
    <row r="24" spans="1:7" x14ac:dyDescent="0.25">
      <c r="A24" s="141" t="s">
        <v>191</v>
      </c>
      <c r="E24" s="159" t="s">
        <v>280</v>
      </c>
    </row>
    <row r="25" spans="1:7" ht="20.25" x14ac:dyDescent="0.25">
      <c r="A25" s="142" t="s">
        <v>184</v>
      </c>
      <c r="B25" s="29"/>
      <c r="E25" s="159" t="s">
        <v>281</v>
      </c>
    </row>
    <row r="26" spans="1:7" ht="21" x14ac:dyDescent="0.35">
      <c r="A26" s="142" t="s">
        <v>185</v>
      </c>
      <c r="B26" s="30"/>
      <c r="E26" s="159" t="s">
        <v>282</v>
      </c>
      <c r="F26" t="s">
        <v>87</v>
      </c>
      <c r="G26" t="str">
        <f ca="1">IF(NOT(ISERROR(MATCH(F26,_xlfn.ANCHORARRAY(A37),0))),E39&amp;"Por favor no seleccionar los criterios de impacto",F26)</f>
        <v>Afectación Económica o presupuestal</v>
      </c>
    </row>
    <row r="27" spans="1:7" ht="21.75" thickBot="1" x14ac:dyDescent="0.4">
      <c r="A27" s="142" t="s">
        <v>186</v>
      </c>
      <c r="B27" s="30"/>
      <c r="E27" s="160" t="s">
        <v>283</v>
      </c>
    </row>
    <row r="28" spans="1:7" ht="21" x14ac:dyDescent="0.35">
      <c r="A28" s="142" t="s">
        <v>187</v>
      </c>
      <c r="B28" s="30"/>
    </row>
    <row r="29" spans="1:7" ht="21" x14ac:dyDescent="0.35">
      <c r="A29" s="142" t="s">
        <v>188</v>
      </c>
      <c r="B29" s="30"/>
    </row>
    <row r="30" spans="1:7" ht="21" x14ac:dyDescent="0.35">
      <c r="A30" s="142" t="s">
        <v>189</v>
      </c>
      <c r="B30" s="30"/>
    </row>
    <row r="31" spans="1:7" ht="21" x14ac:dyDescent="0.35">
      <c r="A31" s="142" t="s">
        <v>190</v>
      </c>
      <c r="B31" s="30"/>
    </row>
    <row r="32" spans="1:7" ht="21" x14ac:dyDescent="0.35">
      <c r="A32" s="30"/>
      <c r="B32" s="30"/>
    </row>
    <row r="33" spans="1:2" ht="21" x14ac:dyDescent="0.35">
      <c r="A33" s="30"/>
      <c r="B33" s="30"/>
    </row>
    <row r="34" spans="1:2" ht="21" x14ac:dyDescent="0.35">
      <c r="A34" s="30"/>
      <c r="B34" s="30"/>
    </row>
    <row r="35" spans="1:2" ht="21" x14ac:dyDescent="0.35">
      <c r="A35" s="30"/>
      <c r="B35" s="30"/>
    </row>
    <row r="36" spans="1:2" x14ac:dyDescent="0.25">
      <c r="A36" s="31"/>
      <c r="B36" s="31"/>
    </row>
  </sheetData>
  <mergeCells count="5">
    <mergeCell ref="D1:E1"/>
    <mergeCell ref="D2:D5"/>
    <mergeCell ref="D6:D8"/>
    <mergeCell ref="D9:D10"/>
    <mergeCell ref="D11:D13"/>
  </mergeCells>
  <dataValidations count="1">
    <dataValidation type="list" allowBlank="1" showInputMessage="1" showErrorMessage="1" sqref="F26" xr:uid="{00000000-0002-0000-0700-000000000000}">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B20" sqref="B20"/>
    </sheetView>
  </sheetViews>
  <sheetFormatPr baseColWidth="10" defaultRowHeight="15"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210</v>
      </c>
    </row>
    <row r="13" spans="2:5" x14ac:dyDescent="0.25">
      <c r="B13" t="s">
        <v>211</v>
      </c>
    </row>
    <row r="14" spans="2:5" x14ac:dyDescent="0.25">
      <c r="B14" t="s">
        <v>212</v>
      </c>
    </row>
    <row r="15" spans="2:5" x14ac:dyDescent="0.25">
      <c r="B15" t="s">
        <v>213</v>
      </c>
    </row>
    <row r="16" spans="2:5" x14ac:dyDescent="0.25">
      <c r="B16" t="s">
        <v>214</v>
      </c>
    </row>
    <row r="17" spans="2:2" x14ac:dyDescent="0.25">
      <c r="B17" t="s">
        <v>215</v>
      </c>
    </row>
    <row r="18" spans="2:2" x14ac:dyDescent="0.25">
      <c r="B18" t="s">
        <v>216</v>
      </c>
    </row>
    <row r="19" spans="2:2" x14ac:dyDescent="0.25">
      <c r="B19" t="s">
        <v>217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Hady Copete</cp:lastModifiedBy>
  <cp:lastPrinted>2020-05-13T01:12:22Z</cp:lastPrinted>
  <dcterms:created xsi:type="dcterms:W3CDTF">2020-03-24T23:12:47Z</dcterms:created>
  <dcterms:modified xsi:type="dcterms:W3CDTF">2023-11-15T17:15:10Z</dcterms:modified>
</cp:coreProperties>
</file>